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60" windowWidth="16380" windowHeight="8130" tabRatio="948" activeTab="11"/>
  </bookViews>
  <sheets>
    <sheet name="Servente" sheetId="1" r:id="rId1"/>
    <sheet name="Servente_Aux. Jard" sheetId="20" r:id="rId2"/>
    <sheet name="Servente_Aux. copa" sheetId="21" r:id="rId3"/>
    <sheet name="Lider" sheetId="13" r:id="rId4"/>
    <sheet name="Pessoal (2)" sheetId="22" r:id="rId5"/>
    <sheet name="Equipamentos" sheetId="4" r:id="rId6"/>
    <sheet name="Materiais Consumo" sheetId="5" r:id="rId7"/>
    <sheet name="Utensílios" sheetId="9" r:id="rId8"/>
    <sheet name="Uniforme" sheetId="6" r:id="rId9"/>
    <sheet name="Resumo por Posto" sheetId="16" r:id="rId10"/>
    <sheet name="Valor da Proposta" sheetId="7" r:id="rId11"/>
    <sheet name="Pessoal" sheetId="17" r:id="rId12"/>
    <sheet name="Valor Estimado" sheetId="19" r:id="rId13"/>
  </sheets>
  <externalReferences>
    <externalReference r:id="rId14"/>
    <externalReference r:id="rId15"/>
    <externalReference r:id="rId16"/>
  </externalReferences>
  <definedNames>
    <definedName name="__xlnm.Print_Area_1" localSheetId="2">'Servente_Aux. copa'!$A$1:$E$145</definedName>
    <definedName name="__xlnm.Print_Area_1" localSheetId="1">'Servente_Aux. Jard'!$A$1:$E$145</definedName>
    <definedName name="__xlnm.Print_Area_1">Servente!$A$1:$E$145</definedName>
    <definedName name="__xlnm.Print_Area_2">#REF!</definedName>
    <definedName name="__xlnm.Print_Area_3">#REF!</definedName>
    <definedName name="_xlnm.Print_Area" localSheetId="0">Servente!$A$1:$E$145</definedName>
    <definedName name="_xlnm.Print_Area" localSheetId="2">'Servente_Aux. copa'!$A$1:$E$145</definedName>
    <definedName name="_xlnm.Print_Area" localSheetId="1">'Servente_Aux. Jard'!$A$1:$E$145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Teste">#N/A</definedName>
  </definedNames>
  <calcPr calcId="125725"/>
</workbook>
</file>

<file path=xl/calcChain.xml><?xml version="1.0" encoding="utf-8"?>
<calcChain xmlns="http://schemas.openxmlformats.org/spreadsheetml/2006/main">
  <c r="C18" i="21"/>
  <c r="C7" i="22" l="1"/>
  <c r="F6"/>
  <c r="B6"/>
  <c r="F5"/>
  <c r="B5"/>
  <c r="F4"/>
  <c r="F7" s="1"/>
  <c r="F9" s="1"/>
  <c r="B4"/>
  <c r="B7" s="1"/>
  <c r="C113" i="21"/>
  <c r="C56"/>
  <c r="C34"/>
  <c r="C120" s="1"/>
  <c r="C23"/>
  <c r="C86" s="1"/>
  <c r="C16" i="1"/>
  <c r="B27" i="7"/>
  <c r="B28"/>
  <c r="B7"/>
  <c r="B11"/>
  <c r="B15"/>
  <c r="B20"/>
  <c r="B24"/>
  <c r="B33"/>
  <c r="B23"/>
  <c r="B32"/>
  <c r="B19"/>
  <c r="C14"/>
  <c r="B14"/>
  <c r="B10"/>
  <c r="B6"/>
  <c r="G5" i="16"/>
  <c r="E5"/>
  <c r="D5"/>
  <c r="C120" i="20"/>
  <c r="C113"/>
  <c r="C78"/>
  <c r="C79"/>
  <c r="C56"/>
  <c r="D53"/>
  <c r="C34"/>
  <c r="C23"/>
  <c r="C87"/>
  <c r="E21" i="6"/>
  <c r="E20"/>
  <c r="E19"/>
  <c r="E18"/>
  <c r="E17"/>
  <c r="E16"/>
  <c r="E15"/>
  <c r="J6" i="19"/>
  <c r="I6"/>
  <c r="J5"/>
  <c r="I5"/>
  <c r="J4"/>
  <c r="J7" s="1"/>
  <c r="J8" s="1"/>
  <c r="I4"/>
  <c r="I7" s="1"/>
  <c r="I8" s="1"/>
  <c r="C9" i="16"/>
  <c r="C7" i="17"/>
  <c r="B7"/>
  <c r="C113" i="13"/>
  <c r="C56"/>
  <c r="C34"/>
  <c r="C120"/>
  <c r="E8" i="16"/>
  <c r="C23" i="13"/>
  <c r="C87"/>
  <c r="E6" i="16"/>
  <c r="C113" i="1"/>
  <c r="C56"/>
  <c r="C34"/>
  <c r="C120"/>
  <c r="E4" i="16"/>
  <c r="C23" i="1"/>
  <c r="C61" s="1"/>
  <c r="E6" i="6"/>
  <c r="E5"/>
  <c r="E4"/>
  <c r="E7" s="1"/>
  <c r="F15" i="9"/>
  <c r="F16"/>
  <c r="F17"/>
  <c r="F28"/>
  <c r="F29" s="1"/>
  <c r="F30" s="1"/>
  <c r="F18"/>
  <c r="F19"/>
  <c r="F20"/>
  <c r="F21"/>
  <c r="F22"/>
  <c r="F23"/>
  <c r="F24"/>
  <c r="F25"/>
  <c r="F26"/>
  <c r="F14"/>
  <c r="F13"/>
  <c r="F12"/>
  <c r="F11"/>
  <c r="F10"/>
  <c r="F9"/>
  <c r="F8"/>
  <c r="F7"/>
  <c r="F6"/>
  <c r="F5"/>
  <c r="G48" i="5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49" s="1"/>
  <c r="G50" s="1"/>
  <c r="G6"/>
  <c r="G5"/>
  <c r="E7" i="16"/>
  <c r="F27" i="9"/>
  <c r="J13" i="4"/>
  <c r="J11"/>
  <c r="J9"/>
  <c r="J7"/>
  <c r="J5"/>
  <c r="J8"/>
  <c r="J12"/>
  <c r="C88" i="13"/>
  <c r="C80"/>
  <c r="C86"/>
  <c r="C85"/>
  <c r="D53"/>
  <c r="D49"/>
  <c r="C77"/>
  <c r="D52"/>
  <c r="C119"/>
  <c r="D8" i="16"/>
  <c r="D7"/>
  <c r="J10" i="4"/>
  <c r="C88" i="1"/>
  <c r="D53"/>
  <c r="E22" i="6"/>
  <c r="E24" s="1"/>
  <c r="J6" i="4"/>
  <c r="J14"/>
  <c r="J15" s="1"/>
  <c r="J16"/>
  <c r="C38" i="13" s="1"/>
  <c r="F7" i="16"/>
  <c r="D55" i="20"/>
  <c r="C80"/>
  <c r="D49"/>
  <c r="C85"/>
  <c r="D52"/>
  <c r="C89"/>
  <c r="D54"/>
  <c r="C77"/>
  <c r="C88"/>
  <c r="C119"/>
  <c r="D48"/>
  <c r="D50"/>
  <c r="C61"/>
  <c r="C75"/>
  <c r="C86"/>
  <c r="D51"/>
  <c r="C62"/>
  <c r="C91" i="13"/>
  <c r="C92"/>
  <c r="C100"/>
  <c r="D48"/>
  <c r="C62"/>
  <c r="C61"/>
  <c r="D51"/>
  <c r="D55"/>
  <c r="C75"/>
  <c r="C78"/>
  <c r="C79"/>
  <c r="D50"/>
  <c r="D54"/>
  <c r="C89"/>
  <c r="D50" i="1"/>
  <c r="C78"/>
  <c r="C79" s="1"/>
  <c r="C80"/>
  <c r="C62"/>
  <c r="D51"/>
  <c r="C76" i="20"/>
  <c r="C81"/>
  <c r="C99"/>
  <c r="C69"/>
  <c r="C63"/>
  <c r="D56"/>
  <c r="C96"/>
  <c r="C91"/>
  <c r="C92"/>
  <c r="C100"/>
  <c r="C76" i="13"/>
  <c r="C81"/>
  <c r="C99"/>
  <c r="C63"/>
  <c r="C69"/>
  <c r="D56"/>
  <c r="C96"/>
  <c r="D6" i="16"/>
  <c r="C64" i="20"/>
  <c r="C65"/>
  <c r="C97"/>
  <c r="C70"/>
  <c r="C71"/>
  <c r="C98"/>
  <c r="C64" i="13"/>
  <c r="C65"/>
  <c r="C97"/>
  <c r="C102"/>
  <c r="C70"/>
  <c r="C71"/>
  <c r="C98"/>
  <c r="C102" i="20"/>
  <c r="C122" i="13"/>
  <c r="C122" i="20"/>
  <c r="G8" i="16"/>
  <c r="G6"/>
  <c r="G7"/>
  <c r="I11"/>
  <c r="D14" i="7"/>
  <c r="D43"/>
  <c r="D40"/>
  <c r="D41"/>
  <c r="F41" s="1"/>
  <c r="D37"/>
  <c r="F37" s="1"/>
  <c r="D44"/>
  <c r="F44" s="1"/>
  <c r="D38"/>
  <c r="D45" s="1"/>
  <c r="D46" s="1"/>
  <c r="D39"/>
  <c r="F39" s="1"/>
  <c r="D42"/>
  <c r="F42" s="1"/>
  <c r="F38" l="1"/>
  <c r="F45" s="1"/>
  <c r="E9" i="6"/>
  <c r="E8"/>
  <c r="E10" s="1"/>
  <c r="E23"/>
  <c r="E25" s="1"/>
  <c r="C40" i="21"/>
  <c r="C40" i="1"/>
  <c r="C40" i="20"/>
  <c r="C40" i="13"/>
  <c r="C38" i="21"/>
  <c r="C38" i="1"/>
  <c r="C38" i="20"/>
  <c r="G51" i="5"/>
  <c r="D49" i="21"/>
  <c r="D53"/>
  <c r="C78"/>
  <c r="C79" s="1"/>
  <c r="C85"/>
  <c r="C89"/>
  <c r="D48"/>
  <c r="D52"/>
  <c r="C77"/>
  <c r="C88"/>
  <c r="C119"/>
  <c r="D51"/>
  <c r="D55"/>
  <c r="C62"/>
  <c r="C80"/>
  <c r="C87"/>
  <c r="D50"/>
  <c r="D54"/>
  <c r="C61"/>
  <c r="C75"/>
  <c r="F7" i="17"/>
  <c r="F9" s="1"/>
  <c r="E9" i="16"/>
  <c r="C87" i="1"/>
  <c r="D52"/>
  <c r="D54"/>
  <c r="C75"/>
  <c r="C76" s="1"/>
  <c r="D48"/>
  <c r="C89"/>
  <c r="C69"/>
  <c r="C63"/>
  <c r="D55"/>
  <c r="D49"/>
  <c r="C85"/>
  <c r="C119"/>
  <c r="D4" i="16" s="1"/>
  <c r="D9" s="1"/>
  <c r="C86" i="1"/>
  <c r="C77"/>
  <c r="C81" s="1"/>
  <c r="C99" s="1"/>
  <c r="H7" i="16"/>
  <c r="I7" s="1"/>
  <c r="J7" s="1"/>
  <c r="C42" i="20" l="1"/>
  <c r="C42" i="13"/>
  <c r="C42" i="1"/>
  <c r="C42" i="21"/>
  <c r="C41"/>
  <c r="C41" i="13"/>
  <c r="C41" i="1"/>
  <c r="C41" i="20"/>
  <c r="C39" i="21"/>
  <c r="C39" i="20"/>
  <c r="C43" s="1"/>
  <c r="C39" i="13"/>
  <c r="C39" i="1"/>
  <c r="C76" i="21"/>
  <c r="C81"/>
  <c r="C99" s="1"/>
  <c r="C91"/>
  <c r="C92" s="1"/>
  <c r="C100" s="1"/>
  <c r="C69"/>
  <c r="C63"/>
  <c r="D56"/>
  <c r="C96" s="1"/>
  <c r="C64" i="1"/>
  <c r="C65" s="1"/>
  <c r="C97" s="1"/>
  <c r="C92"/>
  <c r="C100" s="1"/>
  <c r="C91"/>
  <c r="C70"/>
  <c r="C71" s="1"/>
  <c r="C98" s="1"/>
  <c r="D56"/>
  <c r="C96" s="1"/>
  <c r="F6" i="16"/>
  <c r="H6"/>
  <c r="C43" i="13" l="1"/>
  <c r="C43" i="21"/>
  <c r="C121" s="1"/>
  <c r="C43" i="1"/>
  <c r="C121" s="1"/>
  <c r="F4" i="16" s="1"/>
  <c r="C121" i="20"/>
  <c r="D106"/>
  <c r="D112" s="1"/>
  <c r="D106" i="13"/>
  <c r="C121"/>
  <c r="C70" i="21"/>
  <c r="C71" s="1"/>
  <c r="C98" s="1"/>
  <c r="C64"/>
  <c r="C65" s="1"/>
  <c r="C97" s="1"/>
  <c r="C102" i="1"/>
  <c r="I6" i="16"/>
  <c r="J6" s="1"/>
  <c r="C27" i="7"/>
  <c r="D27" s="1"/>
  <c r="D110" i="20" l="1"/>
  <c r="D108"/>
  <c r="D113" s="1"/>
  <c r="C124" s="1"/>
  <c r="H5" i="16" s="1"/>
  <c r="D112" i="13"/>
  <c r="D108" s="1"/>
  <c r="C123"/>
  <c r="F8" i="16"/>
  <c r="F5"/>
  <c r="C123" i="20"/>
  <c r="C102" i="21"/>
  <c r="C122" i="1"/>
  <c r="D106"/>
  <c r="C125" i="20" l="1"/>
  <c r="C126" s="1"/>
  <c r="I5" i="16"/>
  <c r="J5" s="1"/>
  <c r="F9"/>
  <c r="D110" i="13"/>
  <c r="D113" s="1"/>
  <c r="C124" s="1"/>
  <c r="D106" i="21"/>
  <c r="D112" s="1"/>
  <c r="C122"/>
  <c r="C123" s="1"/>
  <c r="G4" i="16"/>
  <c r="C123" i="1"/>
  <c r="D112"/>
  <c r="D108" s="1"/>
  <c r="H8" i="16" l="1"/>
  <c r="I8" s="1"/>
  <c r="J8" s="1"/>
  <c r="C125" i="13"/>
  <c r="D108" i="21"/>
  <c r="D113" s="1"/>
  <c r="C124" s="1"/>
  <c r="C125" s="1"/>
  <c r="C126" s="1"/>
  <c r="D110"/>
  <c r="D110" i="1"/>
  <c r="D113" s="1"/>
  <c r="C124" s="1"/>
  <c r="G9" i="16"/>
  <c r="C11" i="7" l="1"/>
  <c r="D11" s="1"/>
  <c r="C20"/>
  <c r="D20" s="1"/>
  <c r="C33"/>
  <c r="D33" s="1"/>
  <c r="C15"/>
  <c r="D15" s="1"/>
  <c r="D16" s="1"/>
  <c r="C7"/>
  <c r="D7" s="1"/>
  <c r="C28"/>
  <c r="D28" s="1"/>
  <c r="D29" s="1"/>
  <c r="C24"/>
  <c r="D24" s="1"/>
  <c r="C126" i="13"/>
  <c r="H4" i="16"/>
  <c r="C125" i="1"/>
  <c r="H9" i="16" l="1"/>
  <c r="I4"/>
  <c r="C126" i="1"/>
  <c r="C19" i="7"/>
  <c r="D19" s="1"/>
  <c r="D21" s="1"/>
  <c r="C6"/>
  <c r="D6" s="1"/>
  <c r="D8" s="1"/>
  <c r="C23"/>
  <c r="D23" s="1"/>
  <c r="D25" s="1"/>
  <c r="C10"/>
  <c r="D10" s="1"/>
  <c r="D12" s="1"/>
  <c r="C32"/>
  <c r="D32" s="1"/>
  <c r="D34" s="1"/>
  <c r="J4" i="16" l="1"/>
  <c r="I9"/>
  <c r="J9" s="1"/>
</calcChain>
</file>

<file path=xl/comments1.xml><?xml version="1.0" encoding="utf-8"?>
<comments xmlns="http://schemas.openxmlformats.org/spreadsheetml/2006/main">
  <authors>
    <author/>
  </authors>
  <commentList>
    <comment ref="F4" authorId="0">
      <text>
        <r>
          <rPr>
            <sz val="10"/>
            <rFont val="Arial"/>
            <family val="2"/>
          </rPr>
          <t>A taxa de manutenção (0,25% a.m.) é a sugerida no artigo “Formação de preços dos serviços contínuos a serem terceirizados na Administração Pública” da Revista Zênite</t>
        </r>
      </text>
    </comment>
  </commentList>
</comments>
</file>

<file path=xl/sharedStrings.xml><?xml version="1.0" encoding="utf-8"?>
<sst xmlns="http://schemas.openxmlformats.org/spreadsheetml/2006/main" count="774" uniqueCount="234">
  <si>
    <t>Data de Apresentação da Proposta</t>
  </si>
  <si>
    <t>Pregão nº</t>
  </si>
  <si>
    <t>Tipo de serviço</t>
  </si>
  <si>
    <t>Quantidade de Dias Trabalhados por Mês</t>
  </si>
  <si>
    <t>Salário Normativo da Categoria Profissional</t>
  </si>
  <si>
    <t xml:space="preserve">Categoria profissional </t>
  </si>
  <si>
    <t>Data base da categoria</t>
  </si>
  <si>
    <t>MÓDULO 1 : COMPOSIÇÃO DA REMUNERAÇÃO</t>
  </si>
  <si>
    <t>Composição da Remuneração</t>
  </si>
  <si>
    <t>Valor(R$)</t>
  </si>
  <si>
    <t>Salário Base</t>
  </si>
  <si>
    <t>Adicional noturno</t>
  </si>
  <si>
    <t>Hora Noturna Adicional</t>
  </si>
  <si>
    <t>Periculosidade</t>
  </si>
  <si>
    <t>Insalubridade</t>
  </si>
  <si>
    <t>Adicional de Hora Extra</t>
  </si>
  <si>
    <t>Adicional de risco de vida</t>
  </si>
  <si>
    <t>Total de Remuneração</t>
  </si>
  <si>
    <t>MÓDULO 2: BENEFÍCIOS MENSAIS E DIÁRIOS</t>
  </si>
  <si>
    <t>Benefícios Mensais e Diários</t>
  </si>
  <si>
    <t>Transporte</t>
  </si>
  <si>
    <t>Auxílio Alimentação</t>
  </si>
  <si>
    <t>Prêmio Assiduidade</t>
  </si>
  <si>
    <t>Programa Assist Social</t>
  </si>
  <si>
    <t>Seguro de Vida em Grupo + PCMSO</t>
  </si>
  <si>
    <t>Cesta Básica</t>
  </si>
  <si>
    <t>Total de Benefícios Mensais e Diários</t>
  </si>
  <si>
    <t>MÓDULO 3: INSUMOS DIVERSOS</t>
  </si>
  <si>
    <t>Insumos Diversos</t>
  </si>
  <si>
    <t>Uniformes</t>
  </si>
  <si>
    <t>Equipamentos</t>
  </si>
  <si>
    <t>Total de Insumos Diversos</t>
  </si>
  <si>
    <t>MÓDULO 4: ENCARGOS SOCIAIS E TRABALHISTAS</t>
  </si>
  <si>
    <t>Submódulo 4.1 - Encargos previdenciários e FGTS:</t>
  </si>
  <si>
    <t>Encargos previdenciários e FGTS</t>
  </si>
  <si>
    <t>%</t>
  </si>
  <si>
    <t>INSS</t>
  </si>
  <si>
    <t>SESI ou SESC</t>
  </si>
  <si>
    <t>SENAI ou SENAC</t>
  </si>
  <si>
    <t>INCRA</t>
  </si>
  <si>
    <t>Salário Educação</t>
  </si>
  <si>
    <t>FGTS</t>
  </si>
  <si>
    <t>Seguro acidente do trabalho</t>
  </si>
  <si>
    <t>SEBRAE</t>
  </si>
  <si>
    <t>TOTAL</t>
  </si>
  <si>
    <t>Submódulo 4.2 - 13º Salário e Adicional de Férias</t>
  </si>
  <si>
    <t>13º Salário e Adicional de Férias</t>
  </si>
  <si>
    <t>13º Salário</t>
  </si>
  <si>
    <t>Adicional de Férias</t>
  </si>
  <si>
    <t>Subtotal</t>
  </si>
  <si>
    <t>Incidência do Submódulo 4.1 sobre 13º Salário e Adicional de Férias</t>
  </si>
  <si>
    <t>Submódulo 4.3 - Afastamento Maternidade</t>
  </si>
  <si>
    <t>Afastamento Maternidade</t>
  </si>
  <si>
    <t>Afastamento maternidade</t>
  </si>
  <si>
    <t>Incidência do Submódulo 4.1 sobre afastamento maternidade</t>
  </si>
  <si>
    <t>Submódulo 4.4 - Provisão para Rescisão</t>
  </si>
  <si>
    <t>Provisão para Rescisão</t>
  </si>
  <si>
    <t>Aviso prévio indenizado</t>
  </si>
  <si>
    <t>Incidência do submódulo 4.1 sobre aviso prévio indenizado</t>
  </si>
  <si>
    <t>Multa do FGTS do aviso prévio indenizado</t>
  </si>
  <si>
    <t>Aviso prévio trabalhado</t>
  </si>
  <si>
    <t>Incidência do submódulo 4.1 sobre aviso prévio trabalhado</t>
  </si>
  <si>
    <t>Multa do FGTS do aviso prévio trabalhado</t>
  </si>
  <si>
    <t>Submódulo 4.5 - Custo de Reposição do Profissional Ausente</t>
  </si>
  <si>
    <t>Custo de Reposição do Profissional Ausente</t>
  </si>
  <si>
    <t>Férias</t>
  </si>
  <si>
    <t>Ausência por doença</t>
  </si>
  <si>
    <t>Licença paternidade</t>
  </si>
  <si>
    <t>Ausências legais</t>
  </si>
  <si>
    <t>Ausência por Acidente de trabalho</t>
  </si>
  <si>
    <t>Outros</t>
  </si>
  <si>
    <t>Incidência do submódulo 4.1 sobre o Custo de reposição</t>
  </si>
  <si>
    <t>Quadro - resumo - Módulo 4 - Encargos sociais e trabalhistas</t>
  </si>
  <si>
    <t>Módulo 4 - Encargos sociais e trabalhistas</t>
  </si>
  <si>
    <t>4.1 13º salário + Adicional de férias</t>
  </si>
  <si>
    <t>4.2 Encargos previdenciários e FGTS</t>
  </si>
  <si>
    <t>4.3 Afastamento maternidade</t>
  </si>
  <si>
    <t>4.4 Custo de rescisão</t>
  </si>
  <si>
    <t>4.5 Custo de reposição do profissional ausente</t>
  </si>
  <si>
    <t>4.6 Outros (especificar)</t>
  </si>
  <si>
    <t>MÓDULO 5: CUSTOS INDIRETOS, TRIBUTOS E LUCRO</t>
  </si>
  <si>
    <t>Custos Indiretos, Tributos e Lucro</t>
  </si>
  <si>
    <t>A) Custos Indiretos</t>
  </si>
  <si>
    <t>B) Tributos</t>
  </si>
  <si>
    <t>B.2) Tributos Estaduais (especificar)</t>
  </si>
  <si>
    <t>B.4) Outros tributos (especificar)</t>
  </si>
  <si>
    <t>C) Lucro</t>
  </si>
  <si>
    <t>ANEXO B</t>
  </si>
  <si>
    <t>Quadro-resumo do Custo por Empregado</t>
  </si>
  <si>
    <t>Mão-de-obra vinculada à execução contratual (valor por empregado)</t>
  </si>
  <si>
    <t>A) Módulo 1 - Composição da Remuneração</t>
  </si>
  <si>
    <t>B) Módulo 2 - Benefícios Mensais e Diários</t>
  </si>
  <si>
    <t>C) Módulo 3 - Insumos Diversos (uniformes, materiais, equiptos e outros)</t>
  </si>
  <si>
    <t>D) Módulo 4 - Encargos Sociais e Trabalhistas</t>
  </si>
  <si>
    <t>Subtotal (A + B +C+ D)</t>
  </si>
  <si>
    <t>E) Módulo 5 - Custos indiretos, tributos e lucro</t>
  </si>
  <si>
    <t>Valor total por empregado</t>
  </si>
  <si>
    <t>FATOR K</t>
  </si>
  <si>
    <t>ESPECIFICAÇÃO</t>
  </si>
  <si>
    <t>QUANTIDADE</t>
  </si>
  <si>
    <t>MARCA</t>
  </si>
  <si>
    <t>VALOR UNITÁRIO</t>
  </si>
  <si>
    <t>VALOR TOTAL           (A)</t>
  </si>
  <si>
    <t>MANUTENÇÃO MENSAL (B) (0,25% x A)</t>
  </si>
  <si>
    <t xml:space="preserve">INSUMOS MENSAL (C) </t>
  </si>
  <si>
    <t>MESES DE VIDA ÚTIL ESTIMADA (D)</t>
  </si>
  <si>
    <t>DEPRECIAÇÃO     (E) (A / D)</t>
  </si>
  <si>
    <t>CUSTO MENSAL (B+C+D)</t>
  </si>
  <si>
    <t xml:space="preserve">TOTAL MENSAL </t>
  </si>
  <si>
    <t>TOTAL ANUAL</t>
  </si>
  <si>
    <t>TOTAL MENSAL DIVIDIDO POR SERVENTE</t>
  </si>
  <si>
    <t>MATERIAL</t>
  </si>
  <si>
    <t>UNIDADE DE MEDIDA</t>
  </si>
  <si>
    <t>QUANTIDADE MENSAL</t>
  </si>
  <si>
    <t>VALOR  TOTAL</t>
  </si>
  <si>
    <t>Litro</t>
  </si>
  <si>
    <t>Unidade</t>
  </si>
  <si>
    <t>Fardo</t>
  </si>
  <si>
    <t>QUANTIDADE ANUAL</t>
  </si>
  <si>
    <t>Par</t>
  </si>
  <si>
    <t>TOTAL MENSAL</t>
  </si>
  <si>
    <t>DESCRIÇÂO</t>
  </si>
  <si>
    <t>QTDE SEMESTRAL</t>
  </si>
  <si>
    <t>UNIDADE</t>
  </si>
  <si>
    <t>TOTAL MENSAL (R$) / SERVENTE</t>
  </si>
  <si>
    <t>Tipo de área</t>
  </si>
  <si>
    <r>
      <t xml:space="preserve">Produtividade ( I )
(1/m²) </t>
    </r>
    <r>
      <rPr>
        <b/>
        <sz val="8"/>
        <rFont val="Arial"/>
        <family val="2"/>
      </rPr>
      <t>(1)</t>
    </r>
  </si>
  <si>
    <t>Preço do homem-mês ( II )</t>
  </si>
  <si>
    <t>Subtotal (R$/m²)
( I ) x ( II )</t>
  </si>
  <si>
    <t xml:space="preserve">Preço por m² mensal
 (R$/m²) </t>
  </si>
  <si>
    <t>Área (m²)</t>
  </si>
  <si>
    <t>Total por tipo de 
área(R$)</t>
  </si>
  <si>
    <t>Galão</t>
  </si>
  <si>
    <t>Un</t>
  </si>
  <si>
    <t>Cartela</t>
  </si>
  <si>
    <t>Pacote</t>
  </si>
  <si>
    <t>Saco</t>
  </si>
  <si>
    <t>Rolo</t>
  </si>
  <si>
    <t>área interna - 600 m²</t>
  </si>
  <si>
    <t>esquadria - 220 m²</t>
  </si>
  <si>
    <t>preço por m² total - área interna</t>
  </si>
  <si>
    <t>Produtividade 600 m²</t>
  </si>
  <si>
    <t>Produtividade 6000 m²</t>
  </si>
  <si>
    <t>ESQUADRIAS</t>
  </si>
  <si>
    <t>Produtividade 220 m²</t>
  </si>
  <si>
    <t>VALOR MENSAL DOS SERVIÇOS</t>
  </si>
  <si>
    <t>preço por m² total - área externa</t>
  </si>
  <si>
    <t>preço por m² toal - esquadria</t>
  </si>
  <si>
    <t>ÁREAS INTERNAS</t>
  </si>
  <si>
    <t>ÁREAS EXTERNAS</t>
  </si>
  <si>
    <t>EPIs</t>
  </si>
  <si>
    <t>TOTAL SEMESTRAL (R$) / (para toda a equipe)</t>
  </si>
  <si>
    <t>TOTAL MENSAL (R$)</t>
  </si>
  <si>
    <t>TOTAL ANUAL (R$)</t>
  </si>
  <si>
    <t>Materiais de Consumo</t>
  </si>
  <si>
    <t>Utensílios</t>
  </si>
  <si>
    <t>Custo por Posto</t>
  </si>
  <si>
    <t>Tratorista</t>
  </si>
  <si>
    <t>Qtde Empregados</t>
  </si>
  <si>
    <t>Nº</t>
  </si>
  <si>
    <t>Descrição do Posto</t>
  </si>
  <si>
    <t>RESUMO POR  POSTO DE SERVIÇO</t>
  </si>
  <si>
    <t>Total</t>
  </si>
  <si>
    <t xml:space="preserve">Modulo 2 - Benefícios Mensais e Diários </t>
  </si>
  <si>
    <t>Modulo 1 - Composição da  Remuneração</t>
  </si>
  <si>
    <t>Módulo 3 - Insumos Diversos (uniformes, materiais, equiptos e outros)</t>
  </si>
  <si>
    <t>Módulo 4 - Encargos Sociais e Trabalhistas</t>
  </si>
  <si>
    <t>Módulo 5 - Custos indiretos, tributos e lucro</t>
  </si>
  <si>
    <t xml:space="preserve">Servente </t>
  </si>
  <si>
    <t>Lider</t>
  </si>
  <si>
    <t>área interna (reposição de garrafões de água, limpeza de luminárias e dos filtros dos condicionadores de ar) - 600 m²</t>
  </si>
  <si>
    <t xml:space="preserve">Todo os utensílios necessários à execução dos serviços serão fornecidos pela Contratada em quantidade, qualidade e em conformidade com as metragens e instalações informadas pela Embrapa, que poderá recusar aqueles cuja qualidade não satisfaça as necessidades e o padrão da Embrapa. Para execução do serviço contratado, serão necessários, “no mínimo”, utensísios abaixo relacionados, ficando sob responsabilidade da Contratada o fornecimento de quaisquer outros necessários a execução dos serviços, que não estejam relacionados. </t>
  </si>
  <si>
    <t xml:space="preserve">Todo o material de consumo, utensílios e equipamentos necessários à execução dos serviços serão fornecidos pela Contratada em quantidade e qualidade e em conformidade com as metragens e instalações informadas pela Embrapa, que poderá recusar aqueles cuja qualidade não satisfaça as necessidades e o padrão da Embrapa. Para execução do serviço contratado, serão necessários, “no mínimo”, materiais de consumo abaixo relacionados, ficando sob responsabilidade da Contratada o fornecimento de quaisquer outros materiais necessários a execução dos serviços, que não estejam relacionados. </t>
  </si>
  <si>
    <t xml:space="preserve">Todo os equipamentos necessários à execução dos serviços serão fornecidos pela Contratada em quantidade e qualidade e em conformidade com as metragens e instalações informadas pela Embrapa, que poderá recusar aqueles cuja qualidade não satisfaça as necessidades e o padrão da Embrapa. Para execução do serviço contratado, serão necessários, “no mínimo”, os equipamentos abaixo relacionados, ficando sob responsabilidade da Contratada o fornecimento de quaisquer outros equipamentos necessários a execução dos serviços, que não estejam relacionados. </t>
  </si>
  <si>
    <t>Nota (1) - Custos Indiretos, Tributos e Lucro por empregado. Nota (2) - O valor referente a tribuots é obtido aplicando-se o percentual sobre o valor do faturamento.</t>
  </si>
  <si>
    <t xml:space="preserve"> </t>
  </si>
  <si>
    <t>Nota (1) - Os percentuais dos encargos previdenciários e FGTS são aqueles estabelecidos pela legislação vigente. Nota (2) - Percentuais incidentes sobre a remuneração</t>
  </si>
  <si>
    <t>ANEXO III - Planilha de Formação de Preços
MÃO-DE-OBRA
MÃO-DE-OBRA VINCULADA À EXECUÇÃO CONTRATUAL</t>
  </si>
  <si>
    <t>Limpeza e Cons. Predial - Seg a Sex (44h)</t>
  </si>
  <si>
    <t>Item</t>
  </si>
  <si>
    <t>Área Física (m²)</t>
  </si>
  <si>
    <t>Área Convertida (m²)</t>
  </si>
  <si>
    <t>Tipo de Área</t>
  </si>
  <si>
    <t>Produtividade 8h (m²)</t>
  </si>
  <si>
    <t>Nº de Empregados</t>
  </si>
  <si>
    <t>Áreas Físicas Internas</t>
  </si>
  <si>
    <t>Áreas Físicas Externas</t>
  </si>
  <si>
    <t>Esquadrias</t>
  </si>
  <si>
    <t>Líder</t>
  </si>
  <si>
    <t>Total Geral</t>
  </si>
  <si>
    <t>ANEXO III - Planilha de Formação de Preços</t>
  </si>
  <si>
    <t>área interna (Insalubre - Lavador) - 600 m²</t>
  </si>
  <si>
    <t>Servente Insalubre</t>
  </si>
  <si>
    <t>Lider de Equipe</t>
  </si>
  <si>
    <t>VALOR DA PROPOSTA</t>
  </si>
  <si>
    <t>Servente</t>
  </si>
  <si>
    <t>QUANTITATIVO DE PESSOAL</t>
  </si>
  <si>
    <t>Servente Insalubre (Lavador de Veículos)</t>
  </si>
  <si>
    <t>Podutividade 1350 m²</t>
  </si>
  <si>
    <t>Produtividade 1200 m²</t>
  </si>
  <si>
    <t xml:space="preserve">ANEXO VI </t>
  </si>
  <si>
    <t>Valor Mínimo por m2</t>
  </si>
  <si>
    <t>Valor Máximo por m2</t>
  </si>
  <si>
    <t>Valor Mínimo Total</t>
  </si>
  <si>
    <t>Valor Máximo total</t>
  </si>
  <si>
    <t>Total mensal</t>
  </si>
  <si>
    <t>Total Atual</t>
  </si>
  <si>
    <t>Fonte:</t>
  </si>
  <si>
    <t>limites mínimos e máximos definidos pelo MINISTÉRIO DO PLANEJAMENTO, DESENVOLVIMENTO E GESTÃO, Secretaria de Gestão, disponível no link: http://www.comprasgovernamentais.gov.br/paginas/portarias/mato-grosso-do-sul</t>
  </si>
  <si>
    <t>VALOR ESTIMADO</t>
  </si>
  <si>
    <t>área interna - 1350 m²</t>
  </si>
  <si>
    <t>Servente de limpeza</t>
  </si>
  <si>
    <t>Gratificação área rural</t>
  </si>
  <si>
    <t>B.3) Tributos Municipais - ISSQN</t>
  </si>
  <si>
    <t>B.1) Tributos Federais - OPTANTE SIMPLES NACIONAL</t>
  </si>
  <si>
    <t>PROFAC</t>
  </si>
  <si>
    <t>Epi's</t>
  </si>
  <si>
    <t>Gratificação de função</t>
  </si>
  <si>
    <t>Servente Aux. Jardinagem</t>
  </si>
  <si>
    <t xml:space="preserve">VALOR TOTAL MENSAL </t>
  </si>
  <si>
    <t>VALOR TOTAL ANUAL</t>
  </si>
  <si>
    <t>área enterna - 6000 m²</t>
  </si>
  <si>
    <t>Total Mensal (R$)</t>
  </si>
  <si>
    <t>Total Anual (R$)</t>
  </si>
  <si>
    <t xml:space="preserve">Foi adotada a relação de um líder para cada 13 serventes considerando as peculiaridades dos locais a serem manutenidos, bem como as diversas instalações físicas da Embrapa.  </t>
  </si>
  <si>
    <t>tratorista</t>
  </si>
  <si>
    <t>área enterna - 1200 m² - Tratorista</t>
  </si>
  <si>
    <t>área enterna - 1200 m² - Servente</t>
  </si>
  <si>
    <t>Item 01</t>
  </si>
  <si>
    <t>Item 03</t>
  </si>
  <si>
    <t>Item 04</t>
  </si>
  <si>
    <t>Item 05</t>
  </si>
  <si>
    <t>Item 06</t>
  </si>
  <si>
    <t>Item 02</t>
  </si>
</sst>
</file>

<file path=xl/styles.xml><?xml version="1.0" encoding="utf-8"?>
<styleSheet xmlns="http://schemas.openxmlformats.org/spreadsheetml/2006/main">
  <numFmts count="11">
    <numFmt numFmtId="43" formatCode="_-* #,##0.00_-;\-* #,##0.00_-;_-* &quot;-&quot;??_-;_-@_-"/>
    <numFmt numFmtId="164" formatCode="&quot; R$ &quot;#,##0.00\ ;&quot; R$ (&quot;#,##0.00\);&quot; R$ -&quot;#\ ;@\ "/>
    <numFmt numFmtId="165" formatCode="#,##0.00\ ;&quot; (&quot;#,##0.00\);&quot; -&quot;#\ ;@\ "/>
    <numFmt numFmtId="166" formatCode="d/m/yyyy"/>
    <numFmt numFmtId="167" formatCode="#,##0.00\ ;\(#,##0.00\)"/>
    <numFmt numFmtId="168" formatCode="#,##0.0000\ ;&quot; (&quot;#,##0.0000\);&quot; -&quot;#\ ;@\ "/>
    <numFmt numFmtId="169" formatCode="#,##0.00000\ ;&quot; (&quot;#,##0.00000\);&quot; -&quot;#\ ;@\ "/>
    <numFmt numFmtId="170" formatCode="_-* #,##0_-;\-* #,##0_-;_-* &quot;-&quot;??_-;_-@_-"/>
    <numFmt numFmtId="171" formatCode="_-* #,##0.000_-;\-* #,##0.000_-;_-* &quot;-&quot;??_-;_-@_-"/>
    <numFmt numFmtId="172" formatCode="0.000"/>
    <numFmt numFmtId="173" formatCode="#,##0.00\ ;&quot; (&quot;#,##0.00\);&quot; -&quot;#.0\ ;@\ "/>
  </numFmts>
  <fonts count="40">
    <font>
      <sz val="10"/>
      <name val="Arial"/>
      <family val="2"/>
    </font>
    <font>
      <sz val="10"/>
      <name val="Mangal"/>
      <family val="2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20"/>
      <name val="Arial"/>
      <family val="2"/>
    </font>
    <font>
      <b/>
      <sz val="12"/>
      <name val="Arial"/>
      <family val="2"/>
    </font>
    <font>
      <b/>
      <sz val="10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9"/>
      <name val="Calibri"/>
      <family val="2"/>
    </font>
    <font>
      <b/>
      <sz val="11"/>
      <name val="Calibri"/>
      <family val="2"/>
    </font>
    <font>
      <b/>
      <sz val="8"/>
      <name val="Arial"/>
      <family val="2"/>
    </font>
    <font>
      <b/>
      <sz val="14"/>
      <name val="Calibri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Calibri"/>
      <family val="2"/>
    </font>
    <font>
      <b/>
      <sz val="14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Calibri "/>
    </font>
    <font>
      <b/>
      <sz val="9"/>
      <color indexed="8"/>
      <name val="Calibri "/>
    </font>
    <font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Calibri"/>
      <family val="2"/>
    </font>
    <font>
      <sz val="10"/>
      <color theme="1"/>
      <name val="Arial"/>
      <family val="2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indexed="27"/>
        <bgColor indexed="9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7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rgb="FFC0C0C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26"/>
      </patternFill>
    </fill>
    <fill>
      <patternFill patternType="solid">
        <fgColor theme="0"/>
        <bgColor indexed="42"/>
      </patternFill>
    </fill>
    <fill>
      <patternFill patternType="solid">
        <fgColor theme="9" tint="0.59999389629810485"/>
        <bgColor indexed="9"/>
      </patternFill>
    </fill>
    <fill>
      <patternFill patternType="solid">
        <fgColor theme="0"/>
        <bgColor indexed="9"/>
      </patternFill>
    </fill>
  </fills>
  <borders count="47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9">
    <xf numFmtId="0" fontId="0" fillId="0" borderId="0"/>
    <xf numFmtId="164" fontId="1" fillId="0" borderId="0" applyFill="0" applyBorder="0" applyAlignment="0" applyProtection="0"/>
    <xf numFmtId="164" fontId="1" fillId="0" borderId="0" applyFill="0" applyBorder="0" applyAlignment="0" applyProtection="0"/>
    <xf numFmtId="164" fontId="1" fillId="0" borderId="0" applyFill="0" applyBorder="0" applyAlignment="0" applyProtection="0"/>
    <xf numFmtId="164" fontId="1" fillId="0" borderId="0" applyFill="0" applyBorder="0" applyAlignment="0" applyProtection="0"/>
    <xf numFmtId="0" fontId="2" fillId="0" borderId="0"/>
    <xf numFmtId="0" fontId="17" fillId="0" borderId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165" fontId="1" fillId="0" borderId="0" applyFill="0" applyBorder="0" applyAlignment="0" applyProtection="0"/>
    <xf numFmtId="165" fontId="1" fillId="0" borderId="0" applyFill="0" applyBorder="0" applyAlignment="0" applyProtection="0"/>
    <xf numFmtId="165" fontId="1" fillId="0" borderId="0" applyFill="0" applyBorder="0" applyAlignment="0" applyProtection="0"/>
    <xf numFmtId="165" fontId="1" fillId="0" borderId="0" applyFill="0" applyBorder="0" applyAlignment="0" applyProtection="0"/>
    <xf numFmtId="0" fontId="3" fillId="0" borderId="1" applyAlignment="0" applyProtection="0"/>
    <xf numFmtId="0" fontId="4" fillId="0" borderId="0" applyNumberFormat="0" applyFill="0" applyBorder="0" applyAlignment="0" applyProtection="0"/>
    <xf numFmtId="0" fontId="3" fillId="0" borderId="1" applyNumberFormat="0" applyFill="0" applyAlignment="0" applyProtection="0"/>
    <xf numFmtId="165" fontId="17" fillId="0" borderId="0" applyFill="0" applyBorder="0" applyAlignment="0" applyProtection="0"/>
  </cellStyleXfs>
  <cellXfs count="302">
    <xf numFmtId="0" fontId="0" fillId="0" borderId="0" xfId="0"/>
    <xf numFmtId="0" fontId="5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0" fillId="2" borderId="4" xfId="0" applyFont="1" applyFill="1" applyBorder="1" applyAlignment="1">
      <alignment vertical="center"/>
    </xf>
    <xf numFmtId="0" fontId="0" fillId="2" borderId="5" xfId="0" applyFont="1" applyFill="1" applyBorder="1" applyAlignment="1">
      <alignment vertical="center"/>
    </xf>
    <xf numFmtId="0" fontId="0" fillId="2" borderId="6" xfId="0" applyFont="1" applyFill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166" fontId="0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 applyProtection="1">
      <alignment vertical="center"/>
      <protection locked="0"/>
    </xf>
    <xf numFmtId="0" fontId="5" fillId="2" borderId="6" xfId="0" applyFont="1" applyFill="1" applyBorder="1" applyAlignment="1" applyProtection="1">
      <alignment vertical="center" wrapText="1"/>
    </xf>
    <xf numFmtId="0" fontId="6" fillId="2" borderId="7" xfId="0" applyFont="1" applyFill="1" applyBorder="1" applyAlignment="1" applyProtection="1">
      <alignment vertical="center"/>
      <protection locked="0"/>
    </xf>
    <xf numFmtId="0" fontId="6" fillId="2" borderId="9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vertical="center" wrapText="1"/>
      <protection locked="0"/>
    </xf>
    <xf numFmtId="0" fontId="5" fillId="2" borderId="6" xfId="0" applyFont="1" applyFill="1" applyBorder="1" applyAlignment="1" applyProtection="1">
      <alignment vertical="center" wrapText="1"/>
      <protection locked="0"/>
    </xf>
    <xf numFmtId="0" fontId="5" fillId="2" borderId="0" xfId="0" applyFont="1" applyFill="1" applyAlignment="1" applyProtection="1">
      <alignment vertical="center"/>
    </xf>
    <xf numFmtId="0" fontId="5" fillId="2" borderId="10" xfId="0" applyFont="1" applyFill="1" applyBorder="1" applyAlignment="1" applyProtection="1">
      <alignment horizontal="left" vertical="center"/>
      <protection locked="0"/>
    </xf>
    <xf numFmtId="0" fontId="5" fillId="2" borderId="6" xfId="0" applyFont="1" applyFill="1" applyBorder="1" applyAlignment="1" applyProtection="1">
      <alignment horizontal="left" vertical="center"/>
      <protection locked="0"/>
    </xf>
    <xf numFmtId="0" fontId="6" fillId="2" borderId="7" xfId="0" applyFont="1" applyFill="1" applyBorder="1" applyAlignment="1" applyProtection="1">
      <alignment horizontal="left" vertical="center"/>
      <protection locked="0"/>
    </xf>
    <xf numFmtId="0" fontId="6" fillId="2" borderId="10" xfId="0" applyFont="1" applyFill="1" applyBorder="1" applyAlignment="1" applyProtection="1">
      <alignment horizontal="justify" vertical="top" wrapText="1"/>
    </xf>
    <xf numFmtId="0" fontId="6" fillId="2" borderId="11" xfId="0" applyFont="1" applyFill="1" applyBorder="1" applyAlignment="1" applyProtection="1">
      <alignment horizontal="center" vertical="top" wrapText="1"/>
    </xf>
    <xf numFmtId="0" fontId="0" fillId="2" borderId="4" xfId="0" applyFont="1" applyFill="1" applyBorder="1" applyAlignment="1" applyProtection="1">
      <alignment horizontal="justify" vertical="top" wrapText="1"/>
    </xf>
    <xf numFmtId="0" fontId="0" fillId="2" borderId="12" xfId="0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horizontal="justify" vertical="top" wrapText="1"/>
    </xf>
    <xf numFmtId="0" fontId="7" fillId="2" borderId="13" xfId="0" applyFont="1" applyFill="1" applyBorder="1" applyAlignment="1" applyProtection="1">
      <alignment horizontal="center" vertical="center"/>
    </xf>
    <xf numFmtId="0" fontId="0" fillId="2" borderId="6" xfId="0" applyFont="1" applyFill="1" applyBorder="1" applyAlignment="1" applyProtection="1">
      <alignment horizontal="justify" vertical="top" wrapText="1"/>
    </xf>
    <xf numFmtId="0" fontId="0" fillId="2" borderId="13" xfId="0" applyFont="1" applyFill="1" applyBorder="1" applyAlignment="1" applyProtection="1">
      <alignment horizontal="center" vertical="center"/>
    </xf>
    <xf numFmtId="0" fontId="6" fillId="2" borderId="7" xfId="0" applyFont="1" applyFill="1" applyBorder="1" applyAlignment="1" applyProtection="1">
      <alignment horizontal="justify" vertical="top" wrapText="1"/>
    </xf>
    <xf numFmtId="0" fontId="6" fillId="2" borderId="14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0" fontId="6" fillId="2" borderId="6" xfId="0" applyFont="1" applyFill="1" applyBorder="1" applyAlignment="1" applyProtection="1">
      <alignment horizontal="justify" vertical="top" wrapText="1"/>
    </xf>
    <xf numFmtId="167" fontId="5" fillId="2" borderId="0" xfId="0" applyNumberFormat="1" applyFont="1" applyFill="1" applyAlignment="1" applyProtection="1">
      <alignment vertical="center"/>
    </xf>
    <xf numFmtId="167" fontId="0" fillId="2" borderId="4" xfId="0" applyNumberFormat="1" applyFont="1" applyFill="1" applyBorder="1" applyAlignment="1" applyProtection="1">
      <alignment horizontal="justify" vertical="top" wrapText="1"/>
    </xf>
    <xf numFmtId="0" fontId="5" fillId="2" borderId="6" xfId="0" applyFont="1" applyFill="1" applyBorder="1" applyAlignment="1" applyProtection="1">
      <alignment horizontal="justify" vertical="top" wrapText="1"/>
    </xf>
    <xf numFmtId="0" fontId="5" fillId="0" borderId="0" xfId="0" applyFont="1" applyFill="1" applyAlignment="1" applyProtection="1">
      <alignment vertical="center"/>
    </xf>
    <xf numFmtId="167" fontId="8" fillId="2" borderId="0" xfId="0" applyNumberFormat="1" applyFont="1" applyFill="1" applyAlignment="1" applyProtection="1">
      <alignment vertical="center"/>
    </xf>
    <xf numFmtId="167" fontId="6" fillId="2" borderId="10" xfId="0" applyNumberFormat="1" applyFont="1" applyFill="1" applyBorder="1" applyAlignment="1" applyProtection="1">
      <alignment horizontal="justify" vertical="top" wrapText="1"/>
    </xf>
    <xf numFmtId="167" fontId="0" fillId="2" borderId="6" xfId="0" applyNumberFormat="1" applyFont="1" applyFill="1" applyBorder="1" applyAlignment="1" applyProtection="1">
      <alignment horizontal="justify" vertical="top" wrapText="1"/>
    </xf>
    <xf numFmtId="167" fontId="6" fillId="2" borderId="7" xfId="0" applyNumberFormat="1" applyFont="1" applyFill="1" applyBorder="1" applyAlignment="1" applyProtection="1">
      <alignment horizontal="justify" vertical="top" wrapText="1"/>
    </xf>
    <xf numFmtId="167" fontId="6" fillId="2" borderId="11" xfId="0" applyNumberFormat="1" applyFont="1" applyFill="1" applyBorder="1" applyAlignment="1" applyProtection="1">
      <alignment horizontal="center" vertical="top" wrapText="1"/>
    </xf>
    <xf numFmtId="167" fontId="0" fillId="2" borderId="12" xfId="0" applyNumberFormat="1" applyFont="1" applyFill="1" applyBorder="1" applyAlignment="1" applyProtection="1">
      <alignment horizontal="center" vertical="center"/>
    </xf>
    <xf numFmtId="167" fontId="0" fillId="2" borderId="13" xfId="0" applyNumberFormat="1" applyFont="1" applyFill="1" applyBorder="1" applyAlignment="1" applyProtection="1">
      <alignment horizontal="center" vertical="center"/>
    </xf>
    <xf numFmtId="167" fontId="6" fillId="2" borderId="14" xfId="0" applyNumberFormat="1" applyFont="1" applyFill="1" applyBorder="1" applyAlignment="1" applyProtection="1">
      <alignment horizontal="center" vertical="center"/>
    </xf>
    <xf numFmtId="167" fontId="6" fillId="2" borderId="6" xfId="0" applyNumberFormat="1" applyFont="1" applyFill="1" applyBorder="1" applyAlignment="1" applyProtection="1">
      <alignment horizontal="justify" vertical="top" wrapText="1"/>
    </xf>
    <xf numFmtId="167" fontId="6" fillId="2" borderId="2" xfId="0" applyNumberFormat="1" applyFont="1" applyFill="1" applyBorder="1" applyAlignment="1" applyProtection="1">
      <alignment horizontal="center" vertical="center" wrapText="1"/>
    </xf>
    <xf numFmtId="0" fontId="13" fillId="0" borderId="13" xfId="0" applyFont="1" applyBorder="1" applyAlignment="1">
      <alignment horizontal="justify" vertical="center" wrapText="1"/>
    </xf>
    <xf numFmtId="165" fontId="5" fillId="0" borderId="13" xfId="18" applyFont="1" applyFill="1" applyBorder="1" applyAlignment="1" applyProtection="1">
      <alignment horizontal="center" vertical="center" wrapText="1"/>
    </xf>
    <xf numFmtId="165" fontId="5" fillId="0" borderId="15" xfId="18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29" fillId="0" borderId="17" xfId="0" applyFont="1" applyBorder="1" applyAlignment="1">
      <alignment horizontal="left" vertical="center"/>
    </xf>
    <xf numFmtId="0" fontId="29" fillId="0" borderId="17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/>
    </xf>
    <xf numFmtId="165" fontId="18" fillId="0" borderId="18" xfId="18" applyFont="1" applyFill="1" applyBorder="1" applyAlignment="1" applyProtection="1">
      <alignment horizontal="center" vertical="center" wrapText="1"/>
      <protection locked="0"/>
    </xf>
    <xf numFmtId="165" fontId="18" fillId="0" borderId="13" xfId="18" applyFont="1" applyFill="1" applyBorder="1" applyAlignment="1" applyProtection="1">
      <alignment horizontal="center" vertical="center" wrapText="1"/>
      <protection locked="0"/>
    </xf>
    <xf numFmtId="165" fontId="18" fillId="0" borderId="16" xfId="18" applyFont="1" applyFill="1" applyBorder="1" applyAlignment="1" applyProtection="1">
      <alignment horizontal="center" vertical="center"/>
      <protection locked="0"/>
    </xf>
    <xf numFmtId="0" fontId="18" fillId="0" borderId="17" xfId="0" applyFont="1" applyBorder="1" applyAlignment="1">
      <alignment horizontal="left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/>
    </xf>
    <xf numFmtId="0" fontId="30" fillId="0" borderId="17" xfId="0" applyFont="1" applyBorder="1" applyAlignment="1">
      <alignment horizontal="justify" vertical="center"/>
    </xf>
    <xf numFmtId="165" fontId="18" fillId="5" borderId="13" xfId="18" applyFont="1" applyFill="1" applyBorder="1" applyAlignment="1" applyProtection="1">
      <alignment horizontal="right"/>
    </xf>
    <xf numFmtId="0" fontId="18" fillId="5" borderId="13" xfId="0" applyFont="1" applyFill="1" applyBorder="1"/>
    <xf numFmtId="165" fontId="18" fillId="5" borderId="13" xfId="18" applyFont="1" applyFill="1" applyBorder="1" applyAlignment="1" applyProtection="1">
      <alignment horizontal="right" vertical="center" wrapText="1"/>
      <protection locked="0"/>
    </xf>
    <xf numFmtId="165" fontId="5" fillId="5" borderId="13" xfId="18" applyFont="1" applyFill="1" applyBorder="1" applyAlignment="1" applyProtection="1">
      <alignment vertical="center" wrapText="1"/>
    </xf>
    <xf numFmtId="165" fontId="15" fillId="6" borderId="13" xfId="18" applyFont="1" applyFill="1" applyBorder="1" applyAlignment="1" applyProtection="1">
      <alignment vertical="center" wrapText="1"/>
    </xf>
    <xf numFmtId="0" fontId="13" fillId="5" borderId="13" xfId="0" applyFont="1" applyFill="1" applyBorder="1" applyAlignment="1">
      <alignment horizontal="justify" vertical="center" wrapText="1"/>
    </xf>
    <xf numFmtId="0" fontId="13" fillId="5" borderId="13" xfId="0" applyFont="1" applyFill="1" applyBorder="1" applyAlignment="1">
      <alignment horizontal="center" vertical="center" wrapText="1"/>
    </xf>
    <xf numFmtId="165" fontId="5" fillId="5" borderId="13" xfId="18" applyFont="1" applyFill="1" applyBorder="1" applyAlignment="1" applyProtection="1">
      <alignment horizontal="center" vertical="center" wrapText="1"/>
    </xf>
    <xf numFmtId="0" fontId="11" fillId="5" borderId="13" xfId="0" applyFont="1" applyFill="1" applyBorder="1" applyAlignment="1">
      <alignment horizontal="justify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0" fontId="29" fillId="0" borderId="20" xfId="0" applyFont="1" applyBorder="1" applyAlignment="1">
      <alignment horizontal="left" vertical="center"/>
    </xf>
    <xf numFmtId="0" fontId="29" fillId="0" borderId="20" xfId="0" applyFont="1" applyBorder="1" applyAlignment="1">
      <alignment horizontal="center" vertical="center" wrapText="1"/>
    </xf>
    <xf numFmtId="165" fontId="5" fillId="5" borderId="21" xfId="18" applyFont="1" applyFill="1" applyBorder="1" applyAlignment="1" applyProtection="1">
      <alignment vertical="center" wrapText="1"/>
    </xf>
    <xf numFmtId="0" fontId="13" fillId="0" borderId="17" xfId="0" applyFont="1" applyBorder="1" applyAlignment="1">
      <alignment horizontal="center" vertical="center" wrapText="1"/>
    </xf>
    <xf numFmtId="165" fontId="5" fillId="0" borderId="17" xfId="18" applyFont="1" applyFill="1" applyBorder="1" applyAlignment="1" applyProtection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5" fontId="6" fillId="0" borderId="13" xfId="18" applyFont="1" applyFill="1" applyBorder="1" applyAlignment="1" applyProtection="1">
      <alignment vertical="center"/>
    </xf>
    <xf numFmtId="0" fontId="11" fillId="0" borderId="13" xfId="0" applyFont="1" applyBorder="1" applyAlignment="1">
      <alignment horizontal="center" vertical="center" wrapText="1"/>
    </xf>
    <xf numFmtId="165" fontId="5" fillId="0" borderId="18" xfId="18" applyFont="1" applyFill="1" applyBorder="1" applyAlignment="1" applyProtection="1">
      <alignment horizontal="center" vertical="center" wrapText="1"/>
      <protection locked="0"/>
    </xf>
    <xf numFmtId="3" fontId="5" fillId="0" borderId="18" xfId="15" applyNumberFormat="1" applyFont="1" applyBorder="1" applyAlignment="1" applyProtection="1">
      <alignment horizontal="center" vertical="center" wrapText="1"/>
      <protection locked="0"/>
    </xf>
    <xf numFmtId="165" fontId="5" fillId="0" borderId="16" xfId="18" applyFont="1" applyFill="1" applyBorder="1" applyAlignment="1" applyProtection="1">
      <alignment horizontal="center" vertical="center"/>
      <protection locked="0"/>
    </xf>
    <xf numFmtId="165" fontId="5" fillId="0" borderId="13" xfId="18" applyFont="1" applyFill="1" applyBorder="1" applyAlignment="1" applyProtection="1"/>
    <xf numFmtId="168" fontId="17" fillId="5" borderId="17" xfId="18" applyNumberFormat="1" applyFill="1" applyBorder="1" applyAlignment="1" applyProtection="1"/>
    <xf numFmtId="165" fontId="17" fillId="5" borderId="17" xfId="18" applyFill="1" applyBorder="1" applyAlignment="1" applyProtection="1"/>
    <xf numFmtId="165" fontId="6" fillId="5" borderId="17" xfId="18" applyFont="1" applyFill="1" applyBorder="1" applyAlignment="1" applyProtection="1"/>
    <xf numFmtId="169" fontId="17" fillId="5" borderId="17" xfId="18" applyNumberFormat="1" applyFill="1" applyBorder="1" applyAlignment="1" applyProtection="1"/>
    <xf numFmtId="165" fontId="0" fillId="5" borderId="17" xfId="0" applyNumberFormat="1" applyFill="1" applyBorder="1"/>
    <xf numFmtId="165" fontId="17" fillId="5" borderId="17" xfId="18" applyFill="1" applyBorder="1"/>
    <xf numFmtId="165" fontId="17" fillId="5" borderId="17" xfId="18" applyFont="1" applyFill="1" applyBorder="1" applyAlignment="1" applyProtection="1">
      <alignment horizontal="right"/>
    </xf>
    <xf numFmtId="0" fontId="0" fillId="7" borderId="17" xfId="0" applyFont="1" applyFill="1" applyBorder="1" applyAlignment="1">
      <alignment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0" fontId="18" fillId="0" borderId="17" xfId="0" applyFont="1" applyBorder="1" applyAlignment="1">
      <alignment horizontal="left" vertical="center" wrapText="1"/>
    </xf>
    <xf numFmtId="0" fontId="18" fillId="5" borderId="17" xfId="0" applyFont="1" applyFill="1" applyBorder="1" applyAlignment="1">
      <alignment horizontal="center" vertical="center"/>
    </xf>
    <xf numFmtId="165" fontId="18" fillId="5" borderId="13" xfId="0" applyNumberFormat="1" applyFont="1" applyFill="1" applyBorder="1"/>
    <xf numFmtId="0" fontId="13" fillId="0" borderId="18" xfId="0" applyFont="1" applyBorder="1" applyAlignment="1">
      <alignment horizontal="center" vertical="center" wrapText="1"/>
    </xf>
    <xf numFmtId="0" fontId="13" fillId="0" borderId="18" xfId="0" applyFont="1" applyBorder="1" applyAlignment="1">
      <alignment vertical="center" wrapText="1"/>
    </xf>
    <xf numFmtId="0" fontId="13" fillId="0" borderId="22" xfId="0" applyFont="1" applyBorder="1" applyAlignment="1">
      <alignment horizontal="center" vertical="center" wrapText="1"/>
    </xf>
    <xf numFmtId="0" fontId="6" fillId="8" borderId="17" xfId="0" applyFont="1" applyFill="1" applyBorder="1" applyAlignment="1">
      <alignment horizontal="center" vertical="center" wrapText="1"/>
    </xf>
    <xf numFmtId="0" fontId="6" fillId="8" borderId="22" xfId="0" applyFont="1" applyFill="1" applyBorder="1" applyAlignment="1">
      <alignment horizontal="center" vertical="center" wrapText="1"/>
    </xf>
    <xf numFmtId="0" fontId="6" fillId="8" borderId="15" xfId="0" applyFont="1" applyFill="1" applyBorder="1" applyAlignment="1">
      <alignment horizontal="center" vertical="center" wrapText="1"/>
    </xf>
    <xf numFmtId="0" fontId="21" fillId="8" borderId="15" xfId="0" applyFont="1" applyFill="1" applyBorder="1" applyAlignment="1">
      <alignment horizontal="center" vertical="center" wrapText="1"/>
    </xf>
    <xf numFmtId="0" fontId="0" fillId="0" borderId="21" xfId="0" applyFont="1" applyBorder="1" applyAlignment="1">
      <alignment vertical="center" wrapText="1"/>
    </xf>
    <xf numFmtId="165" fontId="0" fillId="0" borderId="13" xfId="18" applyFont="1" applyFill="1" applyBorder="1" applyAlignment="1" applyProtection="1">
      <alignment vertical="center" wrapText="1"/>
    </xf>
    <xf numFmtId="165" fontId="17" fillId="0" borderId="13" xfId="18" applyFont="1" applyFill="1" applyBorder="1" applyAlignment="1" applyProtection="1">
      <alignment vertical="center" wrapText="1"/>
    </xf>
    <xf numFmtId="0" fontId="0" fillId="0" borderId="0" xfId="0" applyAlignment="1">
      <alignment horizontal="center"/>
    </xf>
    <xf numFmtId="4" fontId="0" fillId="0" borderId="0" xfId="0" applyNumberFormat="1"/>
    <xf numFmtId="4" fontId="24" fillId="5" borderId="17" xfId="0" applyNumberFormat="1" applyFont="1" applyFill="1" applyBorder="1" applyAlignment="1">
      <alignment horizontal="center" vertical="center"/>
    </xf>
    <xf numFmtId="0" fontId="23" fillId="9" borderId="17" xfId="0" applyFont="1" applyFill="1" applyBorder="1" applyAlignment="1">
      <alignment horizontal="center" vertical="center" wrapText="1"/>
    </xf>
    <xf numFmtId="4" fontId="21" fillId="9" borderId="17" xfId="0" applyNumberFormat="1" applyFont="1" applyFill="1" applyBorder="1" applyAlignment="1">
      <alignment horizontal="center" vertical="center"/>
    </xf>
    <xf numFmtId="0" fontId="22" fillId="9" borderId="17" xfId="0" applyFont="1" applyFill="1" applyBorder="1" applyAlignment="1">
      <alignment horizontal="center" vertical="center"/>
    </xf>
    <xf numFmtId="0" fontId="22" fillId="9" borderId="17" xfId="0" applyFont="1" applyFill="1" applyBorder="1" applyAlignment="1">
      <alignment horizontal="center" vertical="center" wrapText="1"/>
    </xf>
    <xf numFmtId="0" fontId="0" fillId="5" borderId="17" xfId="0" applyFont="1" applyFill="1" applyBorder="1" applyAlignment="1">
      <alignment horizontal="center" vertical="center"/>
    </xf>
    <xf numFmtId="0" fontId="0" fillId="0" borderId="17" xfId="0" applyFont="1" applyBorder="1" applyAlignment="1">
      <alignment horizontal="left" vertical="center" wrapText="1"/>
    </xf>
    <xf numFmtId="0" fontId="31" fillId="0" borderId="17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165" fontId="0" fillId="5" borderId="17" xfId="0" applyNumberFormat="1" applyFill="1" applyBorder="1" applyAlignment="1">
      <alignment horizontal="right" vertical="center"/>
    </xf>
    <xf numFmtId="165" fontId="17" fillId="5" borderId="17" xfId="18" applyFill="1" applyBorder="1" applyAlignment="1">
      <alignment horizontal="right" vertical="center"/>
    </xf>
    <xf numFmtId="165" fontId="17" fillId="5" borderId="17" xfId="18" applyFont="1" applyFill="1" applyBorder="1" applyAlignment="1" applyProtection="1">
      <alignment horizontal="right" vertical="center"/>
    </xf>
    <xf numFmtId="0" fontId="0" fillId="7" borderId="17" xfId="0" applyFont="1" applyFill="1" applyBorder="1" applyAlignment="1">
      <alignment horizontal="left" vertical="center" wrapText="1"/>
    </xf>
    <xf numFmtId="0" fontId="29" fillId="0" borderId="17" xfId="0" applyFont="1" applyBorder="1" applyAlignment="1">
      <alignment horizontal="left" vertical="center" wrapText="1"/>
    </xf>
    <xf numFmtId="0" fontId="0" fillId="0" borderId="0" xfId="0" applyBorder="1"/>
    <xf numFmtId="0" fontId="29" fillId="0" borderId="23" xfId="0" applyFont="1" applyBorder="1" applyAlignment="1">
      <alignment horizontal="left" vertical="center"/>
    </xf>
    <xf numFmtId="0" fontId="29" fillId="0" borderId="23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 wrapText="1"/>
    </xf>
    <xf numFmtId="165" fontId="5" fillId="0" borderId="21" xfId="18" applyFont="1" applyFill="1" applyBorder="1" applyAlignment="1" applyProtection="1">
      <alignment horizontal="center" vertical="center" wrapText="1"/>
    </xf>
    <xf numFmtId="0" fontId="9" fillId="8" borderId="17" xfId="0" applyFont="1" applyFill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9" fillId="8" borderId="21" xfId="0" applyFont="1" applyFill="1" applyBorder="1" applyAlignment="1">
      <alignment horizontal="center" vertical="center" wrapText="1"/>
    </xf>
    <xf numFmtId="0" fontId="10" fillId="8" borderId="2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29" fillId="5" borderId="23" xfId="0" applyFont="1" applyFill="1" applyBorder="1" applyAlignment="1">
      <alignment horizontal="center" vertical="center" wrapText="1"/>
    </xf>
    <xf numFmtId="0" fontId="29" fillId="5" borderId="17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29" fillId="5" borderId="20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 vertical="center" indent="3"/>
    </xf>
    <xf numFmtId="0" fontId="26" fillId="0" borderId="17" xfId="0" applyFont="1" applyBorder="1" applyAlignment="1">
      <alignment horizontal="center" vertical="center" wrapText="1"/>
    </xf>
    <xf numFmtId="165" fontId="26" fillId="10" borderId="17" xfId="18" applyFont="1" applyFill="1" applyBorder="1" applyAlignment="1">
      <alignment horizontal="center" vertical="center" wrapText="1"/>
    </xf>
    <xf numFmtId="0" fontId="26" fillId="10" borderId="17" xfId="0" applyFont="1" applyFill="1" applyBorder="1" applyAlignment="1">
      <alignment horizontal="center" vertical="center" wrapText="1"/>
    </xf>
    <xf numFmtId="170" fontId="26" fillId="10" borderId="17" xfId="18" applyNumberFormat="1" applyFont="1" applyFill="1" applyBorder="1" applyAlignment="1">
      <alignment horizontal="center" vertical="center" wrapText="1"/>
    </xf>
    <xf numFmtId="171" fontId="26" fillId="10" borderId="17" xfId="18" applyNumberFormat="1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/>
    </xf>
    <xf numFmtId="43" fontId="0" fillId="0" borderId="17" xfId="0" applyNumberFormat="1" applyFont="1" applyBorder="1"/>
    <xf numFmtId="0" fontId="0" fillId="0" borderId="17" xfId="0" applyFont="1" applyBorder="1"/>
    <xf numFmtId="172" fontId="0" fillId="0" borderId="17" xfId="0" applyNumberFormat="1" applyFont="1" applyBorder="1"/>
    <xf numFmtId="0" fontId="28" fillId="0" borderId="17" xfId="0" applyFont="1" applyBorder="1"/>
    <xf numFmtId="43" fontId="28" fillId="0" borderId="17" xfId="0" applyNumberFormat="1" applyFont="1" applyBorder="1"/>
    <xf numFmtId="0" fontId="0" fillId="0" borderId="0" xfId="0" applyFont="1" applyAlignment="1"/>
    <xf numFmtId="165" fontId="0" fillId="0" borderId="0" xfId="18" applyFont="1"/>
    <xf numFmtId="170" fontId="0" fillId="0" borderId="0" xfId="18" applyNumberFormat="1" applyFont="1" applyAlignment="1">
      <alignment horizontal="center"/>
    </xf>
    <xf numFmtId="171" fontId="0" fillId="0" borderId="0" xfId="18" applyNumberFormat="1" applyFont="1"/>
    <xf numFmtId="1" fontId="28" fillId="0" borderId="17" xfId="0" applyNumberFormat="1" applyFont="1" applyBorder="1"/>
    <xf numFmtId="1" fontId="0" fillId="0" borderId="17" xfId="0" applyNumberFormat="1" applyFont="1" applyBorder="1"/>
    <xf numFmtId="0" fontId="34" fillId="0" borderId="17" xfId="0" applyFont="1" applyBorder="1" applyAlignment="1">
      <alignment horizontal="center" vertical="center" wrapText="1"/>
    </xf>
    <xf numFmtId="165" fontId="0" fillId="0" borderId="17" xfId="18" applyFont="1" applyBorder="1"/>
    <xf numFmtId="0" fontId="0" fillId="0" borderId="17" xfId="0" applyFont="1" applyBorder="1" applyAlignment="1">
      <alignment horizontal="center" vertical="center"/>
    </xf>
    <xf numFmtId="4" fontId="0" fillId="0" borderId="17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4" fontId="6" fillId="0" borderId="17" xfId="0" applyNumberFormat="1" applyFont="1" applyBorder="1" applyAlignment="1">
      <alignment horizontal="center" vertical="center"/>
    </xf>
    <xf numFmtId="0" fontId="34" fillId="0" borderId="45" xfId="5" applyFont="1" applyBorder="1" applyAlignment="1" applyProtection="1">
      <alignment wrapText="1"/>
    </xf>
    <xf numFmtId="0" fontId="34" fillId="0" borderId="46" xfId="5" applyFont="1" applyBorder="1" applyAlignment="1" applyProtection="1">
      <alignment wrapText="1"/>
    </xf>
    <xf numFmtId="0" fontId="0" fillId="0" borderId="18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65" fontId="0" fillId="0" borderId="15" xfId="18" applyFont="1" applyFill="1" applyBorder="1" applyAlignment="1" applyProtection="1">
      <alignment vertical="center" wrapText="1"/>
    </xf>
    <xf numFmtId="0" fontId="34" fillId="0" borderId="17" xfId="5" applyFont="1" applyBorder="1" applyAlignment="1" applyProtection="1">
      <alignment wrapText="1"/>
    </xf>
    <xf numFmtId="0" fontId="0" fillId="0" borderId="17" xfId="0" applyFont="1" applyBorder="1" applyAlignment="1">
      <alignment horizontal="center" vertical="center" wrapText="1"/>
    </xf>
    <xf numFmtId="165" fontId="0" fillId="0" borderId="17" xfId="18" applyFont="1" applyFill="1" applyBorder="1" applyAlignment="1" applyProtection="1">
      <alignment vertical="center" wrapText="1"/>
    </xf>
    <xf numFmtId="0" fontId="34" fillId="0" borderId="23" xfId="5" applyFont="1" applyBorder="1" applyAlignment="1" applyProtection="1">
      <alignment wrapText="1"/>
    </xf>
    <xf numFmtId="0" fontId="0" fillId="0" borderId="24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165" fontId="0" fillId="0" borderId="21" xfId="18" applyFont="1" applyFill="1" applyBorder="1" applyAlignment="1" applyProtection="1">
      <alignment vertical="center" wrapText="1"/>
    </xf>
    <xf numFmtId="0" fontId="35" fillId="5" borderId="13" xfId="0" applyFont="1" applyFill="1" applyBorder="1" applyAlignment="1">
      <alignment horizontal="center" vertical="center" wrapText="1"/>
    </xf>
    <xf numFmtId="0" fontId="36" fillId="5" borderId="13" xfId="0" applyFont="1" applyFill="1" applyBorder="1" applyAlignment="1">
      <alignment horizontal="center" vertical="center"/>
    </xf>
    <xf numFmtId="0" fontId="13" fillId="0" borderId="13" xfId="0" applyFont="1" applyBorder="1" applyAlignment="1">
      <alignment horizontal="center" vertical="center" wrapText="1"/>
    </xf>
    <xf numFmtId="165" fontId="37" fillId="5" borderId="13" xfId="18" applyFont="1" applyFill="1" applyBorder="1" applyAlignment="1" applyProtection="1">
      <alignment horizontal="center" vertical="center" wrapText="1"/>
    </xf>
    <xf numFmtId="165" fontId="37" fillId="5" borderId="18" xfId="18" applyFont="1" applyFill="1" applyBorder="1" applyAlignment="1" applyProtection="1">
      <alignment horizontal="center" vertical="center" wrapText="1"/>
    </xf>
    <xf numFmtId="165" fontId="37" fillId="5" borderId="18" xfId="18" applyFont="1" applyFill="1" applyBorder="1" applyAlignment="1" applyProtection="1">
      <alignment horizontal="center" vertical="center" wrapText="1"/>
      <protection locked="0"/>
    </xf>
    <xf numFmtId="165" fontId="35" fillId="0" borderId="18" xfId="18" applyFont="1" applyFill="1" applyBorder="1" applyAlignment="1" applyProtection="1">
      <alignment horizontal="center" vertical="center" wrapText="1"/>
      <protection locked="0"/>
    </xf>
    <xf numFmtId="165" fontId="35" fillId="5" borderId="18" xfId="18" applyFont="1" applyFill="1" applyBorder="1" applyAlignment="1" applyProtection="1">
      <alignment horizontal="center" vertical="center" wrapText="1"/>
      <protection locked="0"/>
    </xf>
    <xf numFmtId="165" fontId="5" fillId="0" borderId="13" xfId="18" applyFont="1" applyFill="1" applyBorder="1" applyAlignment="1" applyProtection="1">
      <alignment horizontal="center" vertical="center"/>
    </xf>
    <xf numFmtId="165" fontId="0" fillId="0" borderId="0" xfId="0" applyNumberFormat="1"/>
    <xf numFmtId="4" fontId="6" fillId="0" borderId="20" xfId="0" applyNumberFormat="1" applyFont="1" applyBorder="1" applyAlignment="1">
      <alignment horizontal="center" vertical="center"/>
    </xf>
    <xf numFmtId="4" fontId="6" fillId="11" borderId="25" xfId="0" applyNumberFormat="1" applyFont="1" applyFill="1" applyBorder="1" applyAlignment="1">
      <alignment horizontal="center" vertical="center"/>
    </xf>
    <xf numFmtId="165" fontId="17" fillId="0" borderId="0" xfId="18"/>
    <xf numFmtId="165" fontId="6" fillId="12" borderId="17" xfId="0" applyNumberFormat="1" applyFont="1" applyFill="1" applyBorder="1"/>
    <xf numFmtId="173" fontId="17" fillId="5" borderId="17" xfId="18" applyNumberFormat="1" applyFill="1" applyBorder="1"/>
    <xf numFmtId="165" fontId="6" fillId="5" borderId="17" xfId="18" applyNumberFormat="1" applyFont="1" applyFill="1" applyBorder="1" applyAlignment="1" applyProtection="1"/>
    <xf numFmtId="173" fontId="6" fillId="5" borderId="17" xfId="18" applyNumberFormat="1" applyFont="1" applyFill="1" applyBorder="1" applyAlignment="1" applyProtection="1"/>
    <xf numFmtId="165" fontId="17" fillId="5" borderId="17" xfId="18" applyNumberFormat="1" applyFill="1" applyBorder="1" applyAlignment="1" applyProtection="1"/>
    <xf numFmtId="165" fontId="17" fillId="0" borderId="0" xfId="18" applyAlignment="1">
      <alignment horizontal="right" vertical="center"/>
    </xf>
    <xf numFmtId="165" fontId="6" fillId="0" borderId="0" xfId="18" applyFont="1" applyAlignment="1">
      <alignment horizontal="right" vertical="center"/>
    </xf>
    <xf numFmtId="0" fontId="6" fillId="2" borderId="0" xfId="0" applyFont="1" applyFill="1" applyBorder="1" applyAlignment="1">
      <alignment horizontal="center" vertical="center" wrapText="1"/>
    </xf>
    <xf numFmtId="2" fontId="6" fillId="2" borderId="28" xfId="0" applyNumberFormat="1" applyFont="1" applyFill="1" applyBorder="1" applyAlignment="1" applyProtection="1">
      <alignment horizontal="center" vertical="center"/>
    </xf>
    <xf numFmtId="167" fontId="6" fillId="2" borderId="0" xfId="0" applyNumberFormat="1" applyFont="1" applyFill="1" applyBorder="1" applyAlignment="1" applyProtection="1">
      <alignment horizontal="center" vertical="center" wrapText="1"/>
    </xf>
    <xf numFmtId="167" fontId="6" fillId="2" borderId="0" xfId="0" applyNumberFormat="1" applyFont="1" applyFill="1" applyBorder="1" applyAlignment="1" applyProtection="1">
      <alignment horizontal="center" vertical="center"/>
    </xf>
    <xf numFmtId="0" fontId="0" fillId="2" borderId="36" xfId="0" applyFont="1" applyFill="1" applyBorder="1" applyAlignment="1" applyProtection="1">
      <alignment horizontal="justify" vertical="center" wrapText="1"/>
    </xf>
    <xf numFmtId="2" fontId="0" fillId="2" borderId="27" xfId="0" applyNumberFormat="1" applyFont="1" applyFill="1" applyBorder="1" applyAlignment="1" applyProtection="1">
      <alignment horizontal="center" vertical="center"/>
    </xf>
    <xf numFmtId="4" fontId="6" fillId="2" borderId="28" xfId="0" applyNumberFormat="1" applyFont="1" applyFill="1" applyBorder="1" applyAlignment="1" applyProtection="1">
      <alignment horizontal="center" vertical="center"/>
    </xf>
    <xf numFmtId="2" fontId="6" fillId="2" borderId="3" xfId="0" applyNumberFormat="1" applyFont="1" applyFill="1" applyBorder="1" applyAlignment="1" applyProtection="1">
      <alignment horizontal="center" vertical="center"/>
    </xf>
    <xf numFmtId="167" fontId="6" fillId="2" borderId="32" xfId="0" applyNumberFormat="1" applyFont="1" applyFill="1" applyBorder="1" applyAlignment="1" applyProtection="1">
      <alignment horizontal="center" vertical="top" wrapText="1"/>
    </xf>
    <xf numFmtId="2" fontId="0" fillId="2" borderId="26" xfId="0" applyNumberFormat="1" applyFont="1" applyFill="1" applyBorder="1" applyAlignment="1" applyProtection="1">
      <alignment horizontal="center" vertical="center"/>
    </xf>
    <xf numFmtId="4" fontId="6" fillId="2" borderId="27" xfId="0" applyNumberFormat="1" applyFont="1" applyFill="1" applyBorder="1" applyAlignment="1" applyProtection="1">
      <alignment horizontal="center" vertical="center"/>
    </xf>
    <xf numFmtId="167" fontId="6" fillId="2" borderId="3" xfId="0" applyNumberFormat="1" applyFont="1" applyFill="1" applyBorder="1" applyAlignment="1" applyProtection="1">
      <alignment horizontal="center" vertical="center"/>
      <protection locked="0"/>
    </xf>
    <xf numFmtId="167" fontId="6" fillId="2" borderId="34" xfId="0" applyNumberFormat="1" applyFont="1" applyFill="1" applyBorder="1" applyAlignment="1" applyProtection="1">
      <alignment horizontal="center" vertical="center"/>
      <protection locked="0"/>
    </xf>
    <xf numFmtId="0" fontId="6" fillId="2" borderId="32" xfId="0" applyFont="1" applyFill="1" applyBorder="1" applyAlignment="1" applyProtection="1">
      <alignment horizontal="center" vertical="top" wrapText="1"/>
    </xf>
    <xf numFmtId="0" fontId="6" fillId="2" borderId="35" xfId="0" applyFont="1" applyFill="1" applyBorder="1" applyAlignment="1" applyProtection="1">
      <alignment horizontal="center" vertical="top" wrapText="1"/>
    </xf>
    <xf numFmtId="0" fontId="6" fillId="2" borderId="34" xfId="0" applyFont="1" applyFill="1" applyBorder="1" applyAlignment="1" applyProtection="1">
      <alignment horizontal="center" vertical="center"/>
      <protection locked="0"/>
    </xf>
    <xf numFmtId="2" fontId="6" fillId="2" borderId="27" xfId="0" applyNumberFormat="1" applyFont="1" applyFill="1" applyBorder="1" applyAlignment="1" applyProtection="1">
      <alignment horizontal="center" vertical="center"/>
    </xf>
    <xf numFmtId="2" fontId="7" fillId="2" borderId="27" xfId="0" applyNumberFormat="1" applyFont="1" applyFill="1" applyBorder="1" applyAlignment="1" applyProtection="1">
      <alignment horizontal="center" vertical="center"/>
    </xf>
    <xf numFmtId="167" fontId="6" fillId="2" borderId="28" xfId="0" applyNumberFormat="1" applyFont="1" applyFill="1" applyBorder="1" applyAlignment="1" applyProtection="1">
      <alignment horizontal="center" vertical="center"/>
      <protection locked="0"/>
    </xf>
    <xf numFmtId="167" fontId="5" fillId="2" borderId="0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167" fontId="0" fillId="2" borderId="27" xfId="0" applyNumberFormat="1" applyFont="1" applyFill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6" fillId="2" borderId="33" xfId="0" applyFont="1" applyFill="1" applyBorder="1" applyAlignment="1" applyProtection="1">
      <alignment horizontal="center" vertical="center"/>
      <protection locked="0"/>
    </xf>
    <xf numFmtId="167" fontId="0" fillId="2" borderId="32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6" fillId="2" borderId="31" xfId="0" applyFont="1" applyFill="1" applyBorder="1" applyAlignment="1" applyProtection="1">
      <alignment horizontal="center" vertical="center"/>
      <protection locked="0"/>
    </xf>
    <xf numFmtId="4" fontId="0" fillId="2" borderId="32" xfId="0" applyNumberFormat="1" applyFont="1" applyFill="1" applyBorder="1" applyAlignment="1" applyProtection="1">
      <alignment horizontal="center" vertical="center"/>
      <protection locked="0"/>
    </xf>
    <xf numFmtId="0" fontId="6" fillId="2" borderId="30" xfId="0" applyFont="1" applyFill="1" applyBorder="1" applyAlignment="1" applyProtection="1">
      <alignment horizontal="center" vertical="center"/>
      <protection locked="0"/>
    </xf>
    <xf numFmtId="4" fontId="0" fillId="2" borderId="27" xfId="0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>
      <alignment horizontal="center" vertical="center" wrapText="1"/>
    </xf>
    <xf numFmtId="14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25" fillId="2" borderId="26" xfId="0" applyFont="1" applyFill="1" applyBorder="1" applyAlignment="1">
      <alignment horizontal="center" vertical="center"/>
    </xf>
    <xf numFmtId="0" fontId="0" fillId="2" borderId="27" xfId="0" applyFont="1" applyFill="1" applyBorder="1" applyAlignment="1">
      <alignment horizontal="center" vertical="center"/>
    </xf>
    <xf numFmtId="165" fontId="17" fillId="2" borderId="27" xfId="18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166" fontId="0" fillId="2" borderId="28" xfId="0" applyNumberFormat="1" applyFont="1" applyFill="1" applyBorder="1" applyAlignment="1">
      <alignment horizontal="center" vertical="center"/>
    </xf>
    <xf numFmtId="0" fontId="6" fillId="2" borderId="29" xfId="0" applyFont="1" applyFill="1" applyBorder="1" applyAlignment="1" applyProtection="1">
      <alignment horizontal="center" vertical="center"/>
      <protection locked="0"/>
    </xf>
    <xf numFmtId="0" fontId="39" fillId="0" borderId="0" xfId="0" applyFont="1" applyAlignment="1">
      <alignment horizontal="center"/>
    </xf>
    <xf numFmtId="0" fontId="28" fillId="0" borderId="40" xfId="0" applyFont="1" applyBorder="1" applyAlignment="1">
      <alignment horizontal="center"/>
    </xf>
    <xf numFmtId="0" fontId="28" fillId="0" borderId="42" xfId="0" applyFont="1" applyBorder="1" applyAlignment="1">
      <alignment horizontal="center"/>
    </xf>
    <xf numFmtId="0" fontId="0" fillId="0" borderId="40" xfId="0" applyFont="1" applyBorder="1" applyAlignment="1">
      <alignment horizontal="center"/>
    </xf>
    <xf numFmtId="0" fontId="0" fillId="0" borderId="41" xfId="0" applyFont="1" applyBorder="1" applyAlignment="1">
      <alignment horizontal="center"/>
    </xf>
    <xf numFmtId="0" fontId="0" fillId="0" borderId="42" xfId="0" applyFont="1" applyBorder="1" applyAlignment="1">
      <alignment horizontal="center"/>
    </xf>
    <xf numFmtId="0" fontId="28" fillId="0" borderId="4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9" fillId="13" borderId="13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0" fillId="0" borderId="37" xfId="0" applyFont="1" applyBorder="1" applyAlignment="1">
      <alignment horizontal="justify" vertical="center" wrapText="1"/>
    </xf>
    <xf numFmtId="0" fontId="9" fillId="13" borderId="38" xfId="0" applyFont="1" applyFill="1" applyBorder="1" applyAlignment="1">
      <alignment horizontal="center" vertical="center" wrapText="1"/>
    </xf>
    <xf numFmtId="0" fontId="9" fillId="13" borderId="37" xfId="0" applyFont="1" applyFill="1" applyBorder="1" applyAlignment="1">
      <alignment horizontal="center" vertical="center" wrapText="1"/>
    </xf>
    <xf numFmtId="0" fontId="9" fillId="13" borderId="24" xfId="0" applyFont="1" applyFill="1" applyBorder="1" applyAlignment="1">
      <alignment horizontal="center" vertical="center" wrapText="1"/>
    </xf>
    <xf numFmtId="0" fontId="9" fillId="13" borderId="16" xfId="0" applyFont="1" applyFill="1" applyBorder="1" applyAlignment="1">
      <alignment horizontal="center" vertical="center" wrapText="1"/>
    </xf>
    <xf numFmtId="0" fontId="9" fillId="13" borderId="39" xfId="0" applyFont="1" applyFill="1" applyBorder="1" applyAlignment="1">
      <alignment horizontal="center" vertical="center" wrapText="1"/>
    </xf>
    <xf numFmtId="0" fontId="9" fillId="13" borderId="18" xfId="0" applyFont="1" applyFill="1" applyBorder="1" applyAlignment="1">
      <alignment horizontal="center" vertical="center" wrapText="1"/>
    </xf>
    <xf numFmtId="0" fontId="0" fillId="0" borderId="40" xfId="0" applyFont="1" applyBorder="1" applyAlignment="1">
      <alignment horizontal="justify" vertical="center" wrapText="1"/>
    </xf>
    <xf numFmtId="0" fontId="0" fillId="0" borderId="41" xfId="0" applyFont="1" applyBorder="1" applyAlignment="1">
      <alignment horizontal="justify" vertical="center" wrapText="1"/>
    </xf>
    <xf numFmtId="0" fontId="0" fillId="0" borderId="42" xfId="0" applyFont="1" applyBorder="1" applyAlignment="1">
      <alignment horizontal="justify" vertical="center" wrapText="1"/>
    </xf>
    <xf numFmtId="0" fontId="9" fillId="13" borderId="13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13" xfId="0" applyFont="1" applyBorder="1" applyAlignment="1">
      <alignment horizontal="left" vertical="center" wrapText="1"/>
    </xf>
    <xf numFmtId="0" fontId="27" fillId="0" borderId="0" xfId="0" applyFont="1" applyAlignment="1">
      <alignment horizontal="center"/>
    </xf>
    <xf numFmtId="0" fontId="0" fillId="0" borderId="21" xfId="0" applyFont="1" applyBorder="1" applyAlignment="1">
      <alignment horizontal="left" vertical="center" wrapText="1"/>
    </xf>
    <xf numFmtId="0" fontId="8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8" fillId="11" borderId="0" xfId="0" applyFont="1" applyFill="1" applyAlignment="1">
      <alignment horizontal="center" vertical="center"/>
    </xf>
    <xf numFmtId="0" fontId="6" fillId="0" borderId="17" xfId="0" applyFont="1" applyBorder="1" applyAlignment="1">
      <alignment horizontal="left" vertical="center"/>
    </xf>
    <xf numFmtId="0" fontId="6" fillId="11" borderId="17" xfId="0" applyFont="1" applyFill="1" applyBorder="1" applyAlignment="1">
      <alignment horizontal="left" vertical="center"/>
    </xf>
    <xf numFmtId="0" fontId="6" fillId="11" borderId="40" xfId="0" applyFont="1" applyFill="1" applyBorder="1" applyAlignment="1">
      <alignment horizontal="left" vertical="center"/>
    </xf>
    <xf numFmtId="0" fontId="8" fillId="0" borderId="43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center"/>
    </xf>
    <xf numFmtId="0" fontId="6" fillId="3" borderId="7" xfId="0" applyFont="1" applyFill="1" applyBorder="1" applyAlignment="1">
      <alignment horizontal="center" vertical="center"/>
    </xf>
    <xf numFmtId="0" fontId="6" fillId="9" borderId="17" xfId="0" applyFont="1" applyFill="1" applyBorder="1" applyAlignment="1">
      <alignment horizontal="center" vertical="center"/>
    </xf>
    <xf numFmtId="0" fontId="38" fillId="0" borderId="0" xfId="0" applyFont="1" applyAlignment="1">
      <alignment horizontal="justify" wrapText="1"/>
    </xf>
    <xf numFmtId="0" fontId="6" fillId="14" borderId="40" xfId="0" applyFont="1" applyFill="1" applyBorder="1" applyAlignment="1">
      <alignment horizontal="center" vertical="center"/>
    </xf>
    <xf numFmtId="0" fontId="6" fillId="14" borderId="41" xfId="0" applyFont="1" applyFill="1" applyBorder="1" applyAlignment="1">
      <alignment horizontal="center" vertical="center"/>
    </xf>
    <xf numFmtId="0" fontId="6" fillId="14" borderId="42" xfId="0" applyFont="1" applyFill="1" applyBorder="1" applyAlignment="1">
      <alignment horizontal="center" vertical="center"/>
    </xf>
    <xf numFmtId="0" fontId="6" fillId="15" borderId="40" xfId="0" applyFont="1" applyFill="1" applyBorder="1" applyAlignment="1">
      <alignment horizontal="center" vertical="center"/>
    </xf>
    <xf numFmtId="0" fontId="6" fillId="15" borderId="41" xfId="0" applyFont="1" applyFill="1" applyBorder="1" applyAlignment="1">
      <alignment horizontal="center" vertical="center"/>
    </xf>
    <xf numFmtId="0" fontId="6" fillId="15" borderId="42" xfId="0" applyFont="1" applyFill="1" applyBorder="1" applyAlignment="1">
      <alignment horizontal="center" vertical="center"/>
    </xf>
    <xf numFmtId="0" fontId="0" fillId="0" borderId="44" xfId="0" applyBorder="1" applyAlignment="1">
      <alignment horizontal="left"/>
    </xf>
    <xf numFmtId="165" fontId="17" fillId="0" borderId="0" xfId="18" applyAlignment="1">
      <alignment horizontal="right" vertical="center"/>
    </xf>
    <xf numFmtId="0" fontId="34" fillId="0" borderId="17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 wrapText="1"/>
    </xf>
    <xf numFmtId="0" fontId="39" fillId="0" borderId="43" xfId="0" applyFont="1" applyBorder="1" applyAlignment="1">
      <alignment horizontal="center" vertical="center"/>
    </xf>
    <xf numFmtId="4" fontId="0" fillId="0" borderId="17" xfId="0" applyNumberFormat="1" applyFont="1" applyBorder="1" applyAlignment="1">
      <alignment horizontal="center" vertical="center"/>
    </xf>
    <xf numFmtId="0" fontId="39" fillId="0" borderId="41" xfId="0" applyFont="1" applyBorder="1" applyAlignment="1">
      <alignment horizontal="center" vertical="center"/>
    </xf>
    <xf numFmtId="4" fontId="6" fillId="0" borderId="17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172" fontId="0" fillId="0" borderId="17" xfId="0" applyNumberFormat="1" applyBorder="1"/>
  </cellXfs>
  <cellStyles count="19">
    <cellStyle name="Moeda 2" xfId="1"/>
    <cellStyle name="Moeda 2 2" xfId="2"/>
    <cellStyle name="Moeda 3" xfId="3"/>
    <cellStyle name="Moeda 4" xfId="4"/>
    <cellStyle name="Normal" xfId="0" builtinId="0"/>
    <cellStyle name="Normal 2" xfId="5"/>
    <cellStyle name="Normal 3" xfId="6"/>
    <cellStyle name="Porcentagem 2" xfId="7"/>
    <cellStyle name="Porcentagem 2 2" xfId="8"/>
    <cellStyle name="Porcentagem 3" xfId="9"/>
    <cellStyle name="Porcentagem 3 2" xfId="10"/>
    <cellStyle name="Separador de milhares" xfId="18" builtinId="3"/>
    <cellStyle name="Separador de milhares 2" xfId="11"/>
    <cellStyle name="Separador de milhares 2 2" xfId="12"/>
    <cellStyle name="Separador de milhares 3" xfId="13"/>
    <cellStyle name="Separador de milhares 3 2" xfId="14"/>
    <cellStyle name="TableStyleLight1" xfId="15"/>
    <cellStyle name="Título 1 1" xfId="16"/>
    <cellStyle name="Título 1 1 1" xfId="1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D5B5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E0E0E0"/>
      <rgbColor rgb="00FFFF99"/>
      <rgbColor rgb="0099CCFF"/>
      <rgbColor rgb="00FF99CC"/>
      <rgbColor rgb="00CC99FF"/>
      <rgbColor rgb="00FAC09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NTA\EMBRAPA_TERSUL\Preg&#227;o%20001-2017%20-%20Processo%20001-2017%20-%20Limpeza%20e%20Conserva&#231;&#227;o\01%20-%20Fase%20interna\TR%20Limpeza%20Atualizado%20e%20alterado%2024.01.17\Anexo%20II%20-%20%20Planilhas%20Rela&#231;&#227;o%20Demanda%20x%20Produtividade_VF_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NTA\EMBRAPA_TERSUL\Preg&#227;o%20001-2017%20-%20Processo%20001-2017%20-%20Limpeza%20e%20Conserva&#231;&#227;o\01%20-%20Fase%20interna\TR%20Limpeza%20Atualizado%20e%20alterado%2024.01.17\Anexo%20II%20-%20%20Planilhas%20Rela&#231;&#227;o%20Demanda%20x%20Produtividade_VF_%20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dcarlos\Downloads\Anexo%20III%20-%20Planilhas%20de%20Formacao%20Pre&#231;os_TERSU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Áreas Internas"/>
      <sheetName val="Áreas Externas"/>
      <sheetName val="Esquadrias"/>
      <sheetName val="Bebedouro-Lavador"/>
      <sheetName val="Resumo"/>
      <sheetName val="Inf. Complementares"/>
    </sheetNames>
    <sheetDataSet>
      <sheetData sheetId="0">
        <row r="63">
          <cell r="C63">
            <v>7607.5400000000018</v>
          </cell>
        </row>
      </sheetData>
      <sheetData sheetId="1">
        <row r="7">
          <cell r="C7">
            <v>31460.71</v>
          </cell>
          <cell r="I7">
            <v>0.74906452380952382</v>
          </cell>
        </row>
      </sheetData>
      <sheetData sheetId="2">
        <row r="17">
          <cell r="C17">
            <v>6038</v>
          </cell>
          <cell r="I17">
            <v>0.93290223665223648</v>
          </cell>
        </row>
      </sheetData>
      <sheetData sheetId="3">
        <row r="7">
          <cell r="C7">
            <v>1000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Áreas Internas"/>
      <sheetName val="Áreas Externas"/>
      <sheetName val="Esquadrias"/>
      <sheetName val="Bebedouro-Lavador"/>
      <sheetName val="Resumo"/>
      <sheetName val="Inf. Complementares"/>
    </sheetNames>
    <sheetDataSet>
      <sheetData sheetId="0" refreshError="1">
        <row r="63">
          <cell r="I63">
            <v>5.1664133201058213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ervente"/>
      <sheetName val="Tratorista"/>
      <sheetName val="Lavador Veículos"/>
      <sheetName val="Lider"/>
      <sheetName val="Equipamentos"/>
      <sheetName val="Materiais Consumo"/>
      <sheetName val="Utensílios"/>
      <sheetName val="Uniforme"/>
      <sheetName val="Valor da Proposta"/>
      <sheetName val="Resumo por Posto"/>
      <sheetName val="Pessoal"/>
      <sheetName val="Valor Estimado"/>
      <sheetName val="Plan1"/>
    </sheetNames>
    <sheetDataSet>
      <sheetData sheetId="0"/>
      <sheetData sheetId="1"/>
      <sheetData sheetId="2">
        <row r="125">
          <cell r="C125">
            <v>3727.9346729133017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7"/>
  <sheetViews>
    <sheetView zoomScaleNormal="100" zoomScaleSheetLayoutView="100" workbookViewId="0">
      <selection activeCell="C3" sqref="C3:E4"/>
    </sheetView>
  </sheetViews>
  <sheetFormatPr defaultColWidth="11.42578125" defaultRowHeight="11.25"/>
  <cols>
    <col min="1" max="1" width="3.42578125" style="1" customWidth="1"/>
    <col min="2" max="2" width="65.42578125" style="1" bestFit="1" customWidth="1"/>
    <col min="3" max="3" width="6.140625" style="1" bestFit="1" customWidth="1"/>
    <col min="4" max="5" width="15.7109375" style="1" customWidth="1"/>
    <col min="6" max="16384" width="11.42578125" style="1"/>
  </cols>
  <sheetData>
    <row r="1" spans="2:5" ht="45" customHeight="1">
      <c r="B1" s="237" t="s">
        <v>177</v>
      </c>
      <c r="C1" s="237"/>
      <c r="D1" s="237"/>
      <c r="E1" s="237"/>
    </row>
    <row r="2" spans="2:5" ht="13.5" thickBot="1">
      <c r="B2" s="2"/>
      <c r="C2" s="3"/>
      <c r="D2" s="3"/>
      <c r="E2" s="3"/>
    </row>
    <row r="3" spans="2:5" ht="13.5" thickBot="1">
      <c r="B3" s="4" t="s">
        <v>0</v>
      </c>
      <c r="C3" s="238"/>
      <c r="D3" s="239"/>
      <c r="E3" s="239"/>
    </row>
    <row r="4" spans="2:5" ht="13.5" thickBot="1">
      <c r="B4" s="5" t="s">
        <v>1</v>
      </c>
      <c r="C4" s="239"/>
      <c r="D4" s="239"/>
      <c r="E4" s="239"/>
    </row>
    <row r="5" spans="2:5" ht="13.5" thickBot="1">
      <c r="B5" s="2"/>
      <c r="C5" s="3"/>
      <c r="D5" s="3"/>
      <c r="E5" s="3"/>
    </row>
    <row r="6" spans="2:5" ht="12.75">
      <c r="B6" s="6" t="s">
        <v>2</v>
      </c>
      <c r="C6" s="240" t="s">
        <v>178</v>
      </c>
      <c r="D6" s="240"/>
      <c r="E6" s="240"/>
    </row>
    <row r="7" spans="2:5" ht="12.75">
      <c r="B7" s="7" t="s">
        <v>3</v>
      </c>
      <c r="C7" s="241">
        <v>22</v>
      </c>
      <c r="D7" s="241"/>
      <c r="E7" s="241"/>
    </row>
    <row r="8" spans="2:5" ht="12.75">
      <c r="B8" s="8" t="s">
        <v>4</v>
      </c>
      <c r="C8" s="242">
        <v>957</v>
      </c>
      <c r="D8" s="242"/>
      <c r="E8" s="242"/>
    </row>
    <row r="9" spans="2:5" ht="12.75">
      <c r="B9" s="8" t="s">
        <v>5</v>
      </c>
      <c r="C9" s="243" t="s">
        <v>211</v>
      </c>
      <c r="D9" s="243"/>
      <c r="E9" s="243"/>
    </row>
    <row r="10" spans="2:5" ht="13.5" thickBot="1">
      <c r="B10" s="9" t="s">
        <v>6</v>
      </c>
      <c r="C10" s="244">
        <v>42736</v>
      </c>
      <c r="D10" s="244"/>
      <c r="E10" s="244"/>
    </row>
    <row r="11" spans="2:5" ht="12.75">
      <c r="B11" s="10"/>
      <c r="C11" s="11"/>
      <c r="D11" s="12"/>
      <c r="E11" s="12"/>
    </row>
    <row r="12" spans="2:5" ht="12" thickBot="1">
      <c r="C12" s="13"/>
      <c r="D12" s="13"/>
      <c r="E12" s="13"/>
    </row>
    <row r="13" spans="2:5" ht="12.75">
      <c r="B13" s="245" t="s">
        <v>7</v>
      </c>
      <c r="C13" s="245"/>
      <c r="D13" s="245"/>
      <c r="E13" s="245"/>
    </row>
    <row r="14" spans="2:5" ht="12.75">
      <c r="B14" s="14" t="s">
        <v>8</v>
      </c>
      <c r="C14" s="235" t="s">
        <v>9</v>
      </c>
      <c r="D14" s="235"/>
      <c r="E14" s="235"/>
    </row>
    <row r="15" spans="2:5" ht="12.75">
      <c r="B15" s="15" t="s">
        <v>10</v>
      </c>
      <c r="C15" s="228">
        <v>957</v>
      </c>
      <c r="D15" s="228"/>
      <c r="E15" s="228"/>
    </row>
    <row r="16" spans="2:5" ht="12.75">
      <c r="B16" s="15" t="s">
        <v>11</v>
      </c>
      <c r="C16" s="228">
        <f>C15*30%</f>
        <v>287.09999999999997</v>
      </c>
      <c r="D16" s="228"/>
      <c r="E16" s="228"/>
    </row>
    <row r="17" spans="2:5" ht="12.75">
      <c r="B17" s="15" t="s">
        <v>12</v>
      </c>
      <c r="C17" s="228"/>
      <c r="D17" s="228"/>
      <c r="E17" s="228"/>
    </row>
    <row r="18" spans="2:5" ht="12.75">
      <c r="B18" s="16" t="s">
        <v>13</v>
      </c>
      <c r="C18" s="236"/>
      <c r="D18" s="236"/>
      <c r="E18" s="236"/>
    </row>
    <row r="19" spans="2:5" ht="12.75">
      <c r="B19" s="16" t="s">
        <v>14</v>
      </c>
      <c r="C19" s="236"/>
      <c r="D19" s="236"/>
      <c r="E19" s="236"/>
    </row>
    <row r="20" spans="2:5" ht="12.75">
      <c r="B20" s="16" t="s">
        <v>15</v>
      </c>
      <c r="C20" s="236"/>
      <c r="D20" s="236"/>
      <c r="E20" s="236"/>
    </row>
    <row r="21" spans="2:5" ht="12.75">
      <c r="B21" s="16" t="s">
        <v>16</v>
      </c>
      <c r="C21" s="228"/>
      <c r="D21" s="228"/>
      <c r="E21" s="228"/>
    </row>
    <row r="22" spans="2:5" ht="12.75">
      <c r="B22" s="16" t="s">
        <v>212</v>
      </c>
      <c r="C22" s="228"/>
      <c r="D22" s="228"/>
      <c r="E22" s="228"/>
    </row>
    <row r="23" spans="2:5" ht="13.5" thickBot="1">
      <c r="B23" s="17" t="s">
        <v>17</v>
      </c>
      <c r="C23" s="213">
        <f>SUM(C15:E22)</f>
        <v>1244.0999999999999</v>
      </c>
      <c r="D23" s="213"/>
      <c r="E23" s="213"/>
    </row>
    <row r="24" spans="2:5" ht="12" thickBot="1">
      <c r="B24" s="232"/>
      <c r="C24" s="232"/>
      <c r="D24" s="232"/>
      <c r="E24" s="232"/>
    </row>
    <row r="25" spans="2:5" ht="13.5" thickBot="1">
      <c r="B25" s="227" t="s">
        <v>18</v>
      </c>
      <c r="C25" s="227"/>
      <c r="D25" s="227"/>
      <c r="E25" s="227"/>
    </row>
    <row r="26" spans="2:5" ht="13.5" thickBot="1">
      <c r="B26" s="18" t="s">
        <v>19</v>
      </c>
      <c r="C26" s="233" t="s">
        <v>9</v>
      </c>
      <c r="D26" s="233"/>
      <c r="E26" s="233"/>
    </row>
    <row r="27" spans="2:5" ht="12.75">
      <c r="B27" s="19" t="s">
        <v>20</v>
      </c>
      <c r="C27" s="234">
        <v>180</v>
      </c>
      <c r="D27" s="234"/>
      <c r="E27" s="234"/>
    </row>
    <row r="28" spans="2:5" ht="12.75">
      <c r="B28" s="15" t="s">
        <v>21</v>
      </c>
      <c r="C28" s="228">
        <v>198</v>
      </c>
      <c r="D28" s="228"/>
      <c r="E28" s="228"/>
    </row>
    <row r="29" spans="2:5" ht="12.75">
      <c r="B29" s="15" t="s">
        <v>215</v>
      </c>
      <c r="C29" s="228">
        <v>4</v>
      </c>
      <c r="D29" s="228"/>
      <c r="E29" s="228"/>
    </row>
    <row r="30" spans="2:5" ht="12.75">
      <c r="B30" s="15" t="s">
        <v>22</v>
      </c>
      <c r="C30" s="228"/>
      <c r="D30" s="228"/>
      <c r="E30" s="228"/>
    </row>
    <row r="31" spans="2:5" ht="12.75">
      <c r="B31" s="15" t="s">
        <v>23</v>
      </c>
      <c r="C31" s="228">
        <v>9.6999999999999993</v>
      </c>
      <c r="D31" s="228"/>
      <c r="E31" s="228"/>
    </row>
    <row r="32" spans="2:5" ht="12.75">
      <c r="B32" s="20" t="s">
        <v>24</v>
      </c>
      <c r="C32" s="228"/>
      <c r="D32" s="228"/>
      <c r="E32" s="228"/>
    </row>
    <row r="33" spans="2:5" ht="12.75">
      <c r="B33" s="15" t="s">
        <v>25</v>
      </c>
      <c r="C33" s="228"/>
      <c r="D33" s="228"/>
      <c r="E33" s="228"/>
    </row>
    <row r="34" spans="2:5" ht="13.5" thickBot="1">
      <c r="B34" s="17" t="s">
        <v>26</v>
      </c>
      <c r="C34" s="225">
        <f>SUM(C27:E33)</f>
        <v>391.7</v>
      </c>
      <c r="D34" s="225"/>
      <c r="E34" s="225"/>
    </row>
    <row r="35" spans="2:5" s="21" customFormat="1" ht="12" thickBot="1">
      <c r="B35" s="229"/>
      <c r="C35" s="229"/>
      <c r="D35" s="229"/>
      <c r="E35" s="229"/>
    </row>
    <row r="36" spans="2:5" s="21" customFormat="1" ht="13.5" thickBot="1">
      <c r="B36" s="227" t="s">
        <v>27</v>
      </c>
      <c r="C36" s="227"/>
      <c r="D36" s="227"/>
      <c r="E36" s="227"/>
    </row>
    <row r="37" spans="2:5" s="21" customFormat="1" ht="13.5" thickBot="1">
      <c r="B37" s="18" t="s">
        <v>28</v>
      </c>
      <c r="C37" s="230" t="s">
        <v>9</v>
      </c>
      <c r="D37" s="230"/>
      <c r="E37" s="230"/>
    </row>
    <row r="38" spans="2:5" s="21" customFormat="1" ht="12.75">
      <c r="B38" s="22" t="s">
        <v>30</v>
      </c>
      <c r="C38" s="231">
        <f>Equipamentos!J16</f>
        <v>0</v>
      </c>
      <c r="D38" s="231"/>
      <c r="E38" s="231"/>
    </row>
    <row r="39" spans="2:5" s="21" customFormat="1" ht="12.75">
      <c r="B39" s="23" t="s">
        <v>154</v>
      </c>
      <c r="C39" s="228">
        <f>'Materiais Consumo'!G51</f>
        <v>0</v>
      </c>
      <c r="D39" s="228"/>
      <c r="E39" s="228"/>
    </row>
    <row r="40" spans="2:5" s="21" customFormat="1" ht="12.75">
      <c r="B40" s="23" t="s">
        <v>155</v>
      </c>
      <c r="C40" s="228">
        <f>Utensílios!F30</f>
        <v>0</v>
      </c>
      <c r="D40" s="228"/>
      <c r="E40" s="228"/>
    </row>
    <row r="41" spans="2:5" s="21" customFormat="1" ht="12.75">
      <c r="B41" s="23" t="s">
        <v>150</v>
      </c>
      <c r="C41" s="228">
        <f>Uniforme!E25</f>
        <v>0</v>
      </c>
      <c r="D41" s="228"/>
      <c r="E41" s="228"/>
    </row>
    <row r="42" spans="2:5" s="21" customFormat="1" ht="12.75">
      <c r="B42" s="23" t="s">
        <v>29</v>
      </c>
      <c r="C42" s="228">
        <f>Uniforme!E10</f>
        <v>0</v>
      </c>
      <c r="D42" s="228"/>
      <c r="E42" s="228"/>
    </row>
    <row r="43" spans="2:5" s="21" customFormat="1" ht="13.5" thickBot="1">
      <c r="B43" s="24" t="s">
        <v>31</v>
      </c>
      <c r="C43" s="225">
        <f>SUM(C38:E42)</f>
        <v>0</v>
      </c>
      <c r="D43" s="225"/>
      <c r="E43" s="225"/>
    </row>
    <row r="44" spans="2:5" s="21" customFormat="1" ht="12" thickBot="1">
      <c r="B44" s="226"/>
      <c r="C44" s="226"/>
      <c r="D44" s="226"/>
      <c r="E44" s="226"/>
    </row>
    <row r="45" spans="2:5" s="21" customFormat="1" ht="13.5" thickBot="1">
      <c r="B45" s="227" t="s">
        <v>32</v>
      </c>
      <c r="C45" s="227"/>
      <c r="D45" s="227"/>
      <c r="E45" s="227"/>
    </row>
    <row r="46" spans="2:5" s="21" customFormat="1" ht="13.5" thickBot="1">
      <c r="B46" s="222" t="s">
        <v>33</v>
      </c>
      <c r="C46" s="222"/>
      <c r="D46" s="222"/>
      <c r="E46" s="222"/>
    </row>
    <row r="47" spans="2:5" s="21" customFormat="1" ht="13.5" thickBot="1">
      <c r="B47" s="25" t="s">
        <v>34</v>
      </c>
      <c r="C47" s="26" t="s">
        <v>35</v>
      </c>
      <c r="D47" s="220" t="s">
        <v>9</v>
      </c>
      <c r="E47" s="220"/>
    </row>
    <row r="48" spans="2:5" s="21" customFormat="1" ht="12.75">
      <c r="B48" s="27" t="s">
        <v>36</v>
      </c>
      <c r="C48" s="28">
        <v>20</v>
      </c>
      <c r="D48" s="216">
        <f>$C$23*(C48/100)</f>
        <v>248.82</v>
      </c>
      <c r="E48" s="216"/>
    </row>
    <row r="49" spans="2:5" s="21" customFormat="1" ht="12.75">
      <c r="B49" s="29" t="s">
        <v>37</v>
      </c>
      <c r="C49" s="30"/>
      <c r="D49" s="224">
        <f>$C$23*(C49/100)</f>
        <v>0</v>
      </c>
      <c r="E49" s="224"/>
    </row>
    <row r="50" spans="2:5" s="21" customFormat="1" ht="12.75">
      <c r="B50" s="29" t="s">
        <v>38</v>
      </c>
      <c r="C50" s="30"/>
      <c r="D50" s="224">
        <f t="shared" ref="D50:D55" si="0">$C$23*(C50/100)</f>
        <v>0</v>
      </c>
      <c r="E50" s="224"/>
    </row>
    <row r="51" spans="2:5" s="21" customFormat="1" ht="12.75">
      <c r="B51" s="29" t="s">
        <v>39</v>
      </c>
      <c r="C51" s="30"/>
      <c r="D51" s="224">
        <f t="shared" si="0"/>
        <v>0</v>
      </c>
      <c r="E51" s="224"/>
    </row>
    <row r="52" spans="2:5" s="21" customFormat="1" ht="12.75">
      <c r="B52" s="29" t="s">
        <v>40</v>
      </c>
      <c r="C52" s="30"/>
      <c r="D52" s="224">
        <f t="shared" si="0"/>
        <v>0</v>
      </c>
      <c r="E52" s="224"/>
    </row>
    <row r="53" spans="2:5" s="21" customFormat="1" ht="12.75">
      <c r="B53" s="31" t="s">
        <v>41</v>
      </c>
      <c r="C53" s="32">
        <v>8</v>
      </c>
      <c r="D53" s="212">
        <f t="shared" si="0"/>
        <v>99.527999999999992</v>
      </c>
      <c r="E53" s="212"/>
    </row>
    <row r="54" spans="2:5" s="21" customFormat="1" ht="12.75">
      <c r="B54" s="31" t="s">
        <v>42</v>
      </c>
      <c r="C54" s="32">
        <v>3</v>
      </c>
      <c r="D54" s="212">
        <f t="shared" si="0"/>
        <v>37.322999999999993</v>
      </c>
      <c r="E54" s="212"/>
    </row>
    <row r="55" spans="2:5" s="21" customFormat="1" ht="12.75">
      <c r="B55" s="29" t="s">
        <v>43</v>
      </c>
      <c r="C55" s="30"/>
      <c r="D55" s="224">
        <f t="shared" si="0"/>
        <v>0</v>
      </c>
      <c r="E55" s="224"/>
    </row>
    <row r="56" spans="2:5" s="21" customFormat="1" ht="13.5" thickBot="1">
      <c r="B56" s="33" t="s">
        <v>44</v>
      </c>
      <c r="C56" s="34">
        <f>SUM(C48:C55)</f>
        <v>31</v>
      </c>
      <c r="D56" s="208">
        <f>SUM(D48:E55)</f>
        <v>385.67099999999994</v>
      </c>
      <c r="E56" s="208"/>
    </row>
    <row r="57" spans="2:5" s="21" customFormat="1" ht="34.5" customHeight="1">
      <c r="B57" s="211" t="s">
        <v>176</v>
      </c>
      <c r="C57" s="211"/>
      <c r="D57" s="211"/>
      <c r="E57" s="211"/>
    </row>
    <row r="58" spans="2:5" s="21" customFormat="1" ht="13.5" thickBot="1">
      <c r="B58" s="36"/>
      <c r="C58" s="35"/>
      <c r="D58" s="35"/>
      <c r="E58" s="35"/>
    </row>
    <row r="59" spans="2:5" s="21" customFormat="1" ht="13.5" thickBot="1">
      <c r="B59" s="222" t="s">
        <v>45</v>
      </c>
      <c r="C59" s="222"/>
      <c r="D59" s="222"/>
      <c r="E59" s="222"/>
    </row>
    <row r="60" spans="2:5" s="21" customFormat="1" ht="13.5" thickBot="1">
      <c r="B60" s="25" t="s">
        <v>46</v>
      </c>
      <c r="C60" s="221" t="s">
        <v>9</v>
      </c>
      <c r="D60" s="221"/>
      <c r="E60" s="221"/>
    </row>
    <row r="61" spans="2:5" s="21" customFormat="1" ht="12.75">
      <c r="B61" s="27" t="s">
        <v>47</v>
      </c>
      <c r="C61" s="216">
        <f>$C$23*0.0893</f>
        <v>111.09813</v>
      </c>
      <c r="D61" s="216"/>
      <c r="E61" s="216"/>
    </row>
    <row r="62" spans="2:5" s="21" customFormat="1" ht="12.75">
      <c r="B62" s="31" t="s">
        <v>48</v>
      </c>
      <c r="C62" s="212">
        <f>$C$23*0.0298</f>
        <v>37.074179999999998</v>
      </c>
      <c r="D62" s="212"/>
      <c r="E62" s="212"/>
    </row>
    <row r="63" spans="2:5" s="21" customFormat="1" ht="12.75">
      <c r="B63" s="37" t="s">
        <v>49</v>
      </c>
      <c r="C63" s="223">
        <f>SUM(C61:E62)</f>
        <v>148.17230999999998</v>
      </c>
      <c r="D63" s="223"/>
      <c r="E63" s="223"/>
    </row>
    <row r="64" spans="2:5" s="21" customFormat="1" ht="12.75">
      <c r="B64" s="31" t="s">
        <v>50</v>
      </c>
      <c r="C64" s="212">
        <f>C63*(C56/100)</f>
        <v>45.933416099999995</v>
      </c>
      <c r="D64" s="212"/>
      <c r="E64" s="212"/>
    </row>
    <row r="65" spans="2:5" s="21" customFormat="1" ht="13.5" thickBot="1">
      <c r="B65" s="33" t="s">
        <v>44</v>
      </c>
      <c r="C65" s="208">
        <f>SUM(C63:E64)</f>
        <v>194.10572609999997</v>
      </c>
      <c r="D65" s="208"/>
      <c r="E65" s="208"/>
    </row>
    <row r="66" spans="2:5" s="21" customFormat="1" ht="13.5" thickBot="1">
      <c r="B66" s="36"/>
      <c r="C66" s="35"/>
      <c r="D66" s="35"/>
      <c r="E66" s="35"/>
    </row>
    <row r="67" spans="2:5" s="21" customFormat="1" ht="13.5" thickBot="1">
      <c r="B67" s="222" t="s">
        <v>51</v>
      </c>
      <c r="C67" s="222"/>
      <c r="D67" s="222"/>
      <c r="E67" s="222"/>
    </row>
    <row r="68" spans="2:5" s="21" customFormat="1" ht="13.5" thickBot="1">
      <c r="B68" s="25" t="s">
        <v>52</v>
      </c>
      <c r="C68" s="221" t="s">
        <v>9</v>
      </c>
      <c r="D68" s="221"/>
      <c r="E68" s="221"/>
    </row>
    <row r="69" spans="2:5" s="21" customFormat="1" ht="12.75">
      <c r="B69" s="27" t="s">
        <v>53</v>
      </c>
      <c r="C69" s="216">
        <f>((C61/12)+(C62/12)+D48+D53+C32)*4*0.05*0.06</f>
        <v>4.3283483099999991</v>
      </c>
      <c r="D69" s="216"/>
      <c r="E69" s="216"/>
    </row>
    <row r="70" spans="2:5" s="21" customFormat="1" ht="12.75">
      <c r="B70" s="31" t="s">
        <v>54</v>
      </c>
      <c r="C70" s="212">
        <f>C69*(C56/100)</f>
        <v>1.3417879760999998</v>
      </c>
      <c r="D70" s="212"/>
      <c r="E70" s="212"/>
    </row>
    <row r="71" spans="2:5" s="21" customFormat="1" ht="13.5" thickBot="1">
      <c r="B71" s="33" t="s">
        <v>44</v>
      </c>
      <c r="C71" s="208">
        <f>SUM(C69:E70)</f>
        <v>5.6701362860999991</v>
      </c>
      <c r="D71" s="208"/>
      <c r="E71" s="208"/>
    </row>
    <row r="72" spans="2:5" s="21" customFormat="1" ht="13.5" thickBot="1">
      <c r="B72" s="36"/>
      <c r="C72" s="35"/>
      <c r="D72" s="35"/>
      <c r="E72" s="35"/>
    </row>
    <row r="73" spans="2:5" s="21" customFormat="1" ht="13.5" thickBot="1">
      <c r="B73" s="222" t="s">
        <v>55</v>
      </c>
      <c r="C73" s="222"/>
      <c r="D73" s="222"/>
      <c r="E73" s="222"/>
    </row>
    <row r="74" spans="2:5" s="21" customFormat="1" ht="13.5" thickBot="1">
      <c r="B74" s="25" t="s">
        <v>56</v>
      </c>
      <c r="C74" s="221" t="s">
        <v>9</v>
      </c>
      <c r="D74" s="221"/>
      <c r="E74" s="221"/>
    </row>
    <row r="75" spans="2:5" s="21" customFormat="1" ht="12.75">
      <c r="B75" s="27" t="s">
        <v>57</v>
      </c>
      <c r="C75" s="216">
        <f>C23*0.00417</f>
        <v>5.1878969999999995</v>
      </c>
      <c r="D75" s="216"/>
      <c r="E75" s="216"/>
    </row>
    <row r="76" spans="2:5" s="21" customFormat="1" ht="12.75">
      <c r="B76" s="31" t="s">
        <v>58</v>
      </c>
      <c r="C76" s="212">
        <f>C75*(C56/100)</f>
        <v>1.6082480699999999</v>
      </c>
      <c r="D76" s="212"/>
      <c r="E76" s="212"/>
    </row>
    <row r="77" spans="2:5" s="21" customFormat="1" ht="12.75">
      <c r="B77" s="31" t="s">
        <v>59</v>
      </c>
      <c r="C77" s="212">
        <f>$C$23*(0.08*0.5*0.05)</f>
        <v>2.4882</v>
      </c>
      <c r="D77" s="212"/>
      <c r="E77" s="212"/>
    </row>
    <row r="78" spans="2:5" s="21" customFormat="1" ht="12.75">
      <c r="B78" s="31" t="s">
        <v>60</v>
      </c>
      <c r="C78" s="212">
        <f>C23*0.01944</f>
        <v>24.185303999999999</v>
      </c>
      <c r="D78" s="212"/>
      <c r="E78" s="212"/>
    </row>
    <row r="79" spans="2:5" s="21" customFormat="1" ht="12.75">
      <c r="B79" s="31" t="s">
        <v>61</v>
      </c>
      <c r="C79" s="212">
        <f>C78*(C56/100)</f>
        <v>7.4974442399999992</v>
      </c>
      <c r="D79" s="212"/>
      <c r="E79" s="212"/>
    </row>
    <row r="80" spans="2:5" s="21" customFormat="1" ht="12.75">
      <c r="B80" s="31" t="s">
        <v>62</v>
      </c>
      <c r="C80" s="212">
        <f>$C$23*(0.08*0.5)</f>
        <v>49.763999999999996</v>
      </c>
      <c r="D80" s="212"/>
      <c r="E80" s="212"/>
    </row>
    <row r="81" spans="1:9" s="21" customFormat="1" ht="13.5" thickBot="1">
      <c r="B81" s="33" t="s">
        <v>44</v>
      </c>
      <c r="C81" s="208">
        <f>SUM(C75:E80)</f>
        <v>90.731093310000006</v>
      </c>
      <c r="D81" s="208"/>
      <c r="E81" s="208"/>
    </row>
    <row r="82" spans="1:9" s="21" customFormat="1" ht="13.5" thickBot="1">
      <c r="B82" s="36"/>
      <c r="C82" s="35"/>
      <c r="D82" s="35"/>
      <c r="E82" s="35"/>
    </row>
    <row r="83" spans="1:9" s="21" customFormat="1" ht="13.5" thickBot="1">
      <c r="B83" s="222" t="s">
        <v>63</v>
      </c>
      <c r="C83" s="222"/>
      <c r="D83" s="222"/>
      <c r="E83" s="222"/>
    </row>
    <row r="84" spans="1:9" s="21" customFormat="1" ht="13.5" thickBot="1">
      <c r="B84" s="25" t="s">
        <v>64</v>
      </c>
      <c r="C84" s="220" t="s">
        <v>9</v>
      </c>
      <c r="D84" s="220"/>
      <c r="E84" s="220"/>
    </row>
    <row r="85" spans="1:9" s="38" customFormat="1" ht="12.75">
      <c r="B85" s="39" t="s">
        <v>65</v>
      </c>
      <c r="C85" s="216">
        <f>C23*0.0893</f>
        <v>111.09813</v>
      </c>
      <c r="D85" s="216"/>
      <c r="E85" s="216"/>
      <c r="H85" s="21"/>
    </row>
    <row r="86" spans="1:9" s="21" customFormat="1" ht="15">
      <c r="B86" s="31" t="s">
        <v>66</v>
      </c>
      <c r="C86" s="212">
        <f>C23*0.0166</f>
        <v>20.652059999999999</v>
      </c>
      <c r="D86" s="212"/>
      <c r="E86" s="212"/>
      <c r="I86" s="150" t="s">
        <v>175</v>
      </c>
    </row>
    <row r="87" spans="1:9" s="21" customFormat="1" ht="12.75">
      <c r="B87" s="31" t="s">
        <v>67</v>
      </c>
      <c r="C87" s="212">
        <f>C23*0.0002</f>
        <v>0.24881999999999999</v>
      </c>
      <c r="D87" s="212"/>
      <c r="E87" s="212"/>
    </row>
    <row r="88" spans="1:9" s="21" customFormat="1" ht="12.75">
      <c r="B88" s="31" t="s">
        <v>68</v>
      </c>
      <c r="C88" s="212">
        <f>C23*0.0073</f>
        <v>9.0819299999999998</v>
      </c>
      <c r="D88" s="212"/>
      <c r="E88" s="212"/>
    </row>
    <row r="89" spans="1:9" s="21" customFormat="1" ht="12.75">
      <c r="B89" s="31" t="s">
        <v>69</v>
      </c>
      <c r="C89" s="212">
        <f>C23*0.0003</f>
        <v>0.37322999999999995</v>
      </c>
      <c r="D89" s="212"/>
      <c r="E89" s="212"/>
    </row>
    <row r="90" spans="1:9" s="21" customFormat="1" ht="12.75">
      <c r="B90" s="40" t="s">
        <v>70</v>
      </c>
      <c r="C90" s="212">
        <v>0</v>
      </c>
      <c r="D90" s="212"/>
      <c r="E90" s="212"/>
      <c r="H90" s="38"/>
    </row>
    <row r="91" spans="1:9" s="21" customFormat="1" ht="12.75">
      <c r="A91" s="41"/>
      <c r="B91" s="31" t="s">
        <v>71</v>
      </c>
      <c r="C91" s="212">
        <f>SUM(C85:E90)*(C56/100)</f>
        <v>43.8507927</v>
      </c>
      <c r="D91" s="212"/>
      <c r="E91" s="212"/>
      <c r="H91" s="38"/>
    </row>
    <row r="92" spans="1:9" s="21" customFormat="1" ht="13.5" thickBot="1">
      <c r="A92" s="41"/>
      <c r="B92" s="33" t="s">
        <v>44</v>
      </c>
      <c r="C92" s="208">
        <f>SUM(C85:E91)</f>
        <v>185.3049627</v>
      </c>
      <c r="D92" s="208"/>
      <c r="E92" s="208"/>
      <c r="H92" s="38"/>
    </row>
    <row r="93" spans="1:9" s="38" customFormat="1" ht="16.5" thickBot="1">
      <c r="B93" s="42"/>
    </row>
    <row r="94" spans="1:9" s="38" customFormat="1" ht="13.5" thickBot="1">
      <c r="B94" s="219" t="s">
        <v>72</v>
      </c>
      <c r="C94" s="219"/>
      <c r="D94" s="219"/>
      <c r="E94" s="219"/>
    </row>
    <row r="95" spans="1:9" s="38" customFormat="1" ht="13.5" thickBot="1">
      <c r="B95" s="43" t="s">
        <v>73</v>
      </c>
      <c r="C95" s="215" t="s">
        <v>9</v>
      </c>
      <c r="D95" s="215"/>
      <c r="E95" s="215"/>
    </row>
    <row r="96" spans="1:9" s="38" customFormat="1" ht="12.75">
      <c r="B96" s="39" t="s">
        <v>74</v>
      </c>
      <c r="C96" s="216">
        <f>D56</f>
        <v>385.67099999999994</v>
      </c>
      <c r="D96" s="216"/>
      <c r="E96" s="216"/>
    </row>
    <row r="97" spans="2:5" s="38" customFormat="1" ht="12.75">
      <c r="B97" s="44" t="s">
        <v>75</v>
      </c>
      <c r="C97" s="212">
        <f>C65</f>
        <v>194.10572609999997</v>
      </c>
      <c r="D97" s="212"/>
      <c r="E97" s="212"/>
    </row>
    <row r="98" spans="2:5" s="38" customFormat="1" ht="12.75">
      <c r="B98" s="44" t="s">
        <v>76</v>
      </c>
      <c r="C98" s="212">
        <f>C71</f>
        <v>5.6701362860999991</v>
      </c>
      <c r="D98" s="212"/>
      <c r="E98" s="212"/>
    </row>
    <row r="99" spans="2:5" s="38" customFormat="1" ht="12.75">
      <c r="B99" s="44" t="s">
        <v>77</v>
      </c>
      <c r="C99" s="212">
        <f>C81</f>
        <v>90.731093310000006</v>
      </c>
      <c r="D99" s="212"/>
      <c r="E99" s="212"/>
    </row>
    <row r="100" spans="2:5" s="38" customFormat="1" ht="12.75">
      <c r="B100" s="44" t="s">
        <v>78</v>
      </c>
      <c r="C100" s="212">
        <f>C92</f>
        <v>185.3049627</v>
      </c>
      <c r="D100" s="212"/>
      <c r="E100" s="212"/>
    </row>
    <row r="101" spans="2:5" s="38" customFormat="1" ht="12.75">
      <c r="B101" s="44" t="s">
        <v>79</v>
      </c>
      <c r="C101" s="212"/>
      <c r="D101" s="212"/>
      <c r="E101" s="212"/>
    </row>
    <row r="102" spans="2:5" s="38" customFormat="1" ht="13.5" thickBot="1">
      <c r="B102" s="45" t="s">
        <v>44</v>
      </c>
      <c r="C102" s="208">
        <f>SUM(C96:E101)</f>
        <v>861.48291839609999</v>
      </c>
      <c r="D102" s="208"/>
      <c r="E102" s="208"/>
    </row>
    <row r="103" spans="2:5" s="38" customFormat="1" ht="16.5" thickBot="1">
      <c r="B103" s="42"/>
    </row>
    <row r="104" spans="2:5" s="38" customFormat="1" ht="13.5" thickBot="1">
      <c r="B104" s="218" t="s">
        <v>80</v>
      </c>
      <c r="C104" s="218"/>
      <c r="D104" s="218"/>
      <c r="E104" s="218"/>
    </row>
    <row r="105" spans="2:5" s="38" customFormat="1" ht="13.5" thickBot="1">
      <c r="B105" s="43" t="s">
        <v>81</v>
      </c>
      <c r="C105" s="46" t="s">
        <v>35</v>
      </c>
      <c r="D105" s="215" t="s">
        <v>9</v>
      </c>
      <c r="E105" s="215"/>
    </row>
    <row r="106" spans="2:5" s="38" customFormat="1" ht="12.75">
      <c r="B106" s="39" t="s">
        <v>82</v>
      </c>
      <c r="C106" s="47">
        <v>2</v>
      </c>
      <c r="D106" s="216">
        <f>(C102+C43+C34+C23)*C106/100</f>
        <v>49.945658367921993</v>
      </c>
      <c r="E106" s="216"/>
    </row>
    <row r="107" spans="2:5" s="38" customFormat="1" ht="12.75">
      <c r="B107" s="44" t="s">
        <v>83</v>
      </c>
      <c r="C107" s="48"/>
      <c r="D107" s="212"/>
      <c r="E107" s="212"/>
    </row>
    <row r="108" spans="2:5" s="38" customFormat="1" ht="12.75">
      <c r="B108" s="44" t="s">
        <v>214</v>
      </c>
      <c r="C108" s="48">
        <v>9.94</v>
      </c>
      <c r="D108" s="212">
        <f>((C102+C43+C34+C23+D106+D112)/(1-(C108+C110)/100))*(C108/100)</f>
        <v>309.57242105755643</v>
      </c>
      <c r="E108" s="212"/>
    </row>
    <row r="109" spans="2:5" s="38" customFormat="1" ht="12.75">
      <c r="B109" s="44" t="s">
        <v>84</v>
      </c>
      <c r="C109" s="48"/>
      <c r="D109" s="212"/>
      <c r="E109" s="212"/>
    </row>
    <row r="110" spans="2:5" s="38" customFormat="1" ht="12.75">
      <c r="B110" s="44" t="s">
        <v>213</v>
      </c>
      <c r="C110" s="48">
        <v>5</v>
      </c>
      <c r="D110" s="212">
        <f>((C102+C43+C34+C23+D106+D112)/(1-(C108+C110)/100))*(C110/100)</f>
        <v>155.72053373116523</v>
      </c>
      <c r="E110" s="212"/>
    </row>
    <row r="111" spans="2:5" s="38" customFormat="1" ht="12.75">
      <c r="B111" s="44" t="s">
        <v>85</v>
      </c>
      <c r="C111" s="48"/>
      <c r="D111" s="212"/>
      <c r="E111" s="212"/>
    </row>
    <row r="112" spans="2:5" s="38" customFormat="1" ht="12.75">
      <c r="B112" s="44" t="s">
        <v>86</v>
      </c>
      <c r="C112" s="48">
        <v>4</v>
      </c>
      <c r="D112" s="212">
        <f>(C102+C43+C34+C23+D106)*C112/100</f>
        <v>101.88914307056088</v>
      </c>
      <c r="E112" s="212"/>
    </row>
    <row r="113" spans="2:17" s="38" customFormat="1" ht="13.5" thickBot="1">
      <c r="B113" s="45" t="s">
        <v>44</v>
      </c>
      <c r="C113" s="49">
        <f>SUM(C106:C112)</f>
        <v>20.939999999999998</v>
      </c>
      <c r="D113" s="208">
        <f>SUM(D106:E112)</f>
        <v>617.12775622720449</v>
      </c>
      <c r="E113" s="208"/>
    </row>
    <row r="114" spans="2:17" s="38" customFormat="1" ht="31.5" customHeight="1">
      <c r="B114" s="211" t="s">
        <v>174</v>
      </c>
      <c r="C114" s="211"/>
      <c r="D114" s="211"/>
      <c r="E114" s="211"/>
    </row>
    <row r="115" spans="2:17" s="38" customFormat="1" ht="12.75">
      <c r="B115" s="209" t="s">
        <v>87</v>
      </c>
      <c r="C115" s="209"/>
      <c r="D115" s="209"/>
      <c r="E115" s="209"/>
    </row>
    <row r="116" spans="2:17" s="38" customFormat="1" ht="12.75">
      <c r="B116" s="210" t="s">
        <v>88</v>
      </c>
      <c r="C116" s="210"/>
      <c r="D116" s="210"/>
      <c r="E116" s="210"/>
    </row>
    <row r="117" spans="2:17" s="38" customFormat="1" ht="16.5" thickBot="1">
      <c r="B117" s="42"/>
    </row>
    <row r="118" spans="2:17" s="38" customFormat="1" ht="13.5" thickBot="1">
      <c r="B118" s="43" t="s">
        <v>89</v>
      </c>
      <c r="C118" s="215" t="s">
        <v>9</v>
      </c>
      <c r="D118" s="215"/>
      <c r="E118" s="215"/>
    </row>
    <row r="119" spans="2:17" s="38" customFormat="1" ht="12.75">
      <c r="B119" s="39" t="s">
        <v>90</v>
      </c>
      <c r="C119" s="216">
        <f>C23</f>
        <v>1244.0999999999999</v>
      </c>
      <c r="D119" s="216"/>
      <c r="E119" s="216"/>
    </row>
    <row r="120" spans="2:17" s="38" customFormat="1" ht="12.75">
      <c r="B120" s="44" t="s">
        <v>91</v>
      </c>
      <c r="C120" s="212">
        <f>C34</f>
        <v>391.7</v>
      </c>
      <c r="D120" s="212"/>
      <c r="E120" s="212"/>
    </row>
    <row r="121" spans="2:17" s="38" customFormat="1" ht="12.75">
      <c r="B121" s="44" t="s">
        <v>92</v>
      </c>
      <c r="C121" s="212">
        <f>C43</f>
        <v>0</v>
      </c>
      <c r="D121" s="212"/>
      <c r="E121" s="212"/>
    </row>
    <row r="122" spans="2:17" s="38" customFormat="1" ht="12.75">
      <c r="B122" s="44" t="s">
        <v>93</v>
      </c>
      <c r="C122" s="212">
        <f>C102</f>
        <v>861.48291839609999</v>
      </c>
      <c r="D122" s="212"/>
      <c r="E122" s="212"/>
    </row>
    <row r="123" spans="2:17" s="38" customFormat="1" ht="12.75">
      <c r="B123" s="50" t="s">
        <v>94</v>
      </c>
      <c r="C123" s="217">
        <f>SUM(C119:E122)</f>
        <v>2497.2829183960998</v>
      </c>
      <c r="D123" s="217"/>
      <c r="E123" s="217"/>
    </row>
    <row r="124" spans="2:17" s="38" customFormat="1" ht="12.75">
      <c r="B124" s="44" t="s">
        <v>95</v>
      </c>
      <c r="C124" s="212">
        <f>D113</f>
        <v>617.12775622720449</v>
      </c>
      <c r="D124" s="212"/>
      <c r="E124" s="212"/>
    </row>
    <row r="125" spans="2:17" s="38" customFormat="1" ht="13.5" thickBot="1">
      <c r="B125" s="45" t="s">
        <v>96</v>
      </c>
      <c r="C125" s="213">
        <f>SUM(C123:E124)</f>
        <v>3114.4106746233042</v>
      </c>
      <c r="D125" s="213"/>
      <c r="E125" s="213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2:17" s="38" customFormat="1" ht="13.5" thickBot="1">
      <c r="B126" s="51" t="s">
        <v>97</v>
      </c>
      <c r="C126" s="214">
        <f>C125/C23</f>
        <v>2.5033443249122294</v>
      </c>
      <c r="D126" s="214"/>
      <c r="E126" s="214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2:17" s="38" customFormat="1" ht="15.75">
      <c r="B127" s="42"/>
      <c r="H127" s="1"/>
      <c r="I127" s="1"/>
      <c r="J127" s="1"/>
      <c r="K127" s="1"/>
      <c r="L127" s="1"/>
      <c r="M127" s="1"/>
      <c r="N127" s="1"/>
      <c r="O127" s="1"/>
      <c r="P127" s="1"/>
      <c r="Q127" s="1"/>
    </row>
  </sheetData>
  <sheetProtection selectLockedCells="1" selectUnlockedCells="1"/>
  <mergeCells count="115">
    <mergeCell ref="B1:E1"/>
    <mergeCell ref="C3:E3"/>
    <mergeCell ref="C4:E4"/>
    <mergeCell ref="C6:E6"/>
    <mergeCell ref="C7:E7"/>
    <mergeCell ref="C8:E8"/>
    <mergeCell ref="C9:E9"/>
    <mergeCell ref="C10:E10"/>
    <mergeCell ref="B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B24:E24"/>
    <mergeCell ref="B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B35:E35"/>
    <mergeCell ref="B36:E36"/>
    <mergeCell ref="C37:E37"/>
    <mergeCell ref="C38:E38"/>
    <mergeCell ref="C39:E39"/>
    <mergeCell ref="C42:E42"/>
    <mergeCell ref="C40:E40"/>
    <mergeCell ref="C41:E41"/>
    <mergeCell ref="C43:E43"/>
    <mergeCell ref="B44:E44"/>
    <mergeCell ref="B45:E45"/>
    <mergeCell ref="B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B59:E59"/>
    <mergeCell ref="C60:E60"/>
    <mergeCell ref="C61:E61"/>
    <mergeCell ref="C62:E62"/>
    <mergeCell ref="B57:E57"/>
    <mergeCell ref="C63:E63"/>
    <mergeCell ref="C64:E64"/>
    <mergeCell ref="C65:E65"/>
    <mergeCell ref="B67:E67"/>
    <mergeCell ref="C68:E68"/>
    <mergeCell ref="C69:E69"/>
    <mergeCell ref="C70:E70"/>
    <mergeCell ref="C71:E71"/>
    <mergeCell ref="B73:E73"/>
    <mergeCell ref="C74:E74"/>
    <mergeCell ref="C75:E75"/>
    <mergeCell ref="C76:E76"/>
    <mergeCell ref="C77:E77"/>
    <mergeCell ref="C78:E78"/>
    <mergeCell ref="C79:E79"/>
    <mergeCell ref="C80:E80"/>
    <mergeCell ref="C81:E81"/>
    <mergeCell ref="B83:E83"/>
    <mergeCell ref="C84:E84"/>
    <mergeCell ref="C85:E85"/>
    <mergeCell ref="C86:E86"/>
    <mergeCell ref="C87:E87"/>
    <mergeCell ref="C88:E88"/>
    <mergeCell ref="C89:E89"/>
    <mergeCell ref="C90:E90"/>
    <mergeCell ref="C91:E91"/>
    <mergeCell ref="C92:E92"/>
    <mergeCell ref="B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B104:E104"/>
    <mergeCell ref="D105:E105"/>
    <mergeCell ref="D106:E106"/>
    <mergeCell ref="D107:E107"/>
    <mergeCell ref="D108:E108"/>
    <mergeCell ref="D109:E109"/>
    <mergeCell ref="D110:E110"/>
    <mergeCell ref="D111:E111"/>
    <mergeCell ref="D112:E112"/>
    <mergeCell ref="D113:E113"/>
    <mergeCell ref="B115:E115"/>
    <mergeCell ref="B116:E116"/>
    <mergeCell ref="B114:E114"/>
    <mergeCell ref="C124:E124"/>
    <mergeCell ref="C125:E125"/>
    <mergeCell ref="C126:E126"/>
    <mergeCell ref="C118:E118"/>
    <mergeCell ref="C119:E119"/>
    <mergeCell ref="C120:E120"/>
    <mergeCell ref="C121:E121"/>
    <mergeCell ref="C122:E122"/>
    <mergeCell ref="C123:E123"/>
  </mergeCells>
  <pageMargins left="0.78749999999999998" right="0.78749999999999998" top="1.0527777777777778" bottom="1.0527777777777778" header="0.78749999999999998" footer="0.78749999999999998"/>
  <pageSetup paperSize="9" scale="81" firstPageNumber="0" fitToHeight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  <colBreaks count="1" manualBreakCount="1">
    <brk id="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K13"/>
  <sheetViews>
    <sheetView workbookViewId="0">
      <selection activeCell="K18" sqref="K18"/>
    </sheetView>
  </sheetViews>
  <sheetFormatPr defaultRowHeight="12.75"/>
  <cols>
    <col min="1" max="1" width="3" style="119" bestFit="1" customWidth="1"/>
    <col min="2" max="2" width="24" bestFit="1" customWidth="1"/>
    <col min="3" max="3" width="11.28515625" bestFit="1" customWidth="1"/>
    <col min="4" max="4" width="12.42578125" style="120" bestFit="1" customWidth="1"/>
    <col min="5" max="5" width="9.5703125" style="120" bestFit="1" customWidth="1"/>
    <col min="6" max="6" width="10.28515625" style="120" bestFit="1" customWidth="1"/>
    <col min="7" max="7" width="11.140625" style="120" bestFit="1" customWidth="1"/>
    <col min="8" max="8" width="9.28515625" style="120" bestFit="1" customWidth="1"/>
    <col min="9" max="9" width="12.7109375" customWidth="1"/>
    <col min="10" max="10" width="16.7109375" style="120" customWidth="1"/>
    <col min="11" max="11" width="15" customWidth="1"/>
    <col min="12" max="12" width="13.140625" customWidth="1"/>
    <col min="13" max="13" width="17" customWidth="1"/>
    <col min="14" max="14" width="10.140625" bestFit="1" customWidth="1"/>
    <col min="15" max="18" width="9.28515625" bestFit="1" customWidth="1"/>
    <col min="19" max="19" width="10.140625" bestFit="1" customWidth="1"/>
    <col min="22" max="22" width="11.28515625" bestFit="1" customWidth="1"/>
  </cols>
  <sheetData>
    <row r="1" spans="1:11" ht="24.95" customHeight="1">
      <c r="A1" s="275" t="s">
        <v>190</v>
      </c>
      <c r="B1" s="275"/>
      <c r="C1" s="275"/>
      <c r="D1" s="275"/>
      <c r="E1" s="275"/>
      <c r="F1" s="275"/>
      <c r="G1" s="275"/>
      <c r="H1" s="275"/>
      <c r="I1" s="275"/>
    </row>
    <row r="2" spans="1:11" ht="24.95" customHeight="1">
      <c r="A2" s="272" t="s">
        <v>161</v>
      </c>
      <c r="B2" s="272"/>
      <c r="C2" s="272"/>
      <c r="D2" s="272"/>
      <c r="E2" s="272"/>
      <c r="F2" s="272"/>
      <c r="G2" s="272"/>
      <c r="H2" s="272"/>
      <c r="I2" s="272"/>
    </row>
    <row r="3" spans="1:11" ht="84">
      <c r="A3" s="124" t="s">
        <v>159</v>
      </c>
      <c r="B3" s="125" t="s">
        <v>160</v>
      </c>
      <c r="C3" s="122" t="s">
        <v>158</v>
      </c>
      <c r="D3" s="122" t="s">
        <v>164</v>
      </c>
      <c r="E3" s="122" t="s">
        <v>163</v>
      </c>
      <c r="F3" s="122" t="s">
        <v>165</v>
      </c>
      <c r="G3" s="122" t="s">
        <v>166</v>
      </c>
      <c r="H3" s="122" t="s">
        <v>167</v>
      </c>
      <c r="I3" s="122" t="s">
        <v>156</v>
      </c>
    </row>
    <row r="4" spans="1:11" ht="24.95" customHeight="1">
      <c r="A4" s="126">
        <v>1</v>
      </c>
      <c r="B4" s="127" t="s">
        <v>195</v>
      </c>
      <c r="C4" s="128">
        <v>10</v>
      </c>
      <c r="D4" s="121">
        <f>C4*Servente!C119</f>
        <v>12441</v>
      </c>
      <c r="E4" s="121">
        <f>C4*Servente!C120</f>
        <v>3917</v>
      </c>
      <c r="F4" s="121">
        <f>C4*Servente!C121</f>
        <v>0</v>
      </c>
      <c r="G4" s="121">
        <f>C4*Servente!C122</f>
        <v>8614.8291839609992</v>
      </c>
      <c r="H4" s="121">
        <f>C4*Servente!C124</f>
        <v>6171.2775622720446</v>
      </c>
      <c r="I4" s="121">
        <f>SUM(D4:H4)</f>
        <v>31144.106746233043</v>
      </c>
      <c r="J4" s="121">
        <f t="shared" ref="J4:J9" si="0">I4*12</f>
        <v>373729.28095479653</v>
      </c>
      <c r="K4" s="120"/>
    </row>
    <row r="5" spans="1:11" ht="24.95" customHeight="1">
      <c r="A5" s="126">
        <v>2</v>
      </c>
      <c r="B5" s="127" t="s">
        <v>218</v>
      </c>
      <c r="C5" s="128">
        <v>1</v>
      </c>
      <c r="D5" s="121">
        <f>'Servente_Aux. Jard'!C119</f>
        <v>1056.3</v>
      </c>
      <c r="E5" s="121">
        <f>'Servente_Aux. Jard'!C120</f>
        <v>391.7</v>
      </c>
      <c r="F5" s="121">
        <f>'Servente_Aux. Jard'!C121</f>
        <v>0</v>
      </c>
      <c r="G5" s="121">
        <f>'Servente_Aux. Jard'!C122</f>
        <v>731.43992179229997</v>
      </c>
      <c r="H5" s="121">
        <f>'Servente_Aux. Jard'!C124</f>
        <v>486.3128346533959</v>
      </c>
      <c r="I5" s="121">
        <f>SUM(D5:H5)</f>
        <v>2665.7527564456959</v>
      </c>
      <c r="J5" s="121">
        <f t="shared" si="0"/>
        <v>31989.033077348351</v>
      </c>
      <c r="K5" s="120"/>
    </row>
    <row r="6" spans="1:11" ht="24.95" customHeight="1">
      <c r="A6" s="126">
        <v>3</v>
      </c>
      <c r="B6" s="127" t="s">
        <v>192</v>
      </c>
      <c r="C6" s="128">
        <v>1</v>
      </c>
      <c r="D6" s="121" t="e">
        <f>C6*#REF!</f>
        <v>#REF!</v>
      </c>
      <c r="E6" s="121" t="e">
        <f>#REF!</f>
        <v>#REF!</v>
      </c>
      <c r="F6" s="121" t="e">
        <f>C6*#REF!</f>
        <v>#REF!</v>
      </c>
      <c r="G6" s="121" t="e">
        <f>C6*#REF!</f>
        <v>#REF!</v>
      </c>
      <c r="H6" s="121" t="e">
        <f>C6*#REF!</f>
        <v>#REF!</v>
      </c>
      <c r="I6" s="121" t="e">
        <f>SUM(D6:H6)</f>
        <v>#REF!</v>
      </c>
      <c r="J6" s="121" t="e">
        <f t="shared" si="0"/>
        <v>#REF!</v>
      </c>
      <c r="K6" s="120"/>
    </row>
    <row r="7" spans="1:11" ht="24.95" customHeight="1">
      <c r="A7" s="126">
        <v>4</v>
      </c>
      <c r="B7" s="127" t="s">
        <v>157</v>
      </c>
      <c r="C7" s="128">
        <v>1</v>
      </c>
      <c r="D7" s="121" t="e">
        <f>C7*#REF!</f>
        <v>#REF!</v>
      </c>
      <c r="E7" s="121" t="e">
        <f>C7*#REF!</f>
        <v>#REF!</v>
      </c>
      <c r="F7" s="121" t="e">
        <f>C7*#REF!</f>
        <v>#REF!</v>
      </c>
      <c r="G7" s="121" t="e">
        <f>C7*#REF!</f>
        <v>#REF!</v>
      </c>
      <c r="H7" s="121" t="e">
        <f>C7*#REF!</f>
        <v>#REF!</v>
      </c>
      <c r="I7" s="121" t="e">
        <f>SUM(D7:H7)</f>
        <v>#REF!</v>
      </c>
      <c r="J7" s="121" t="e">
        <f t="shared" si="0"/>
        <v>#REF!</v>
      </c>
      <c r="K7" s="120"/>
    </row>
    <row r="8" spans="1:11" ht="24.95" customHeight="1">
      <c r="A8" s="126">
        <v>5</v>
      </c>
      <c r="B8" s="127" t="s">
        <v>169</v>
      </c>
      <c r="C8" s="128">
        <v>1</v>
      </c>
      <c r="D8" s="121">
        <f>C8*Lider!C119</f>
        <v>1106.04</v>
      </c>
      <c r="E8" s="121">
        <f>C8*Lider!C120</f>
        <v>391.7</v>
      </c>
      <c r="F8" s="121">
        <f>C8*Lider!C121</f>
        <v>0</v>
      </c>
      <c r="G8" s="121">
        <f>C8*Lider!C122</f>
        <v>765.88261961484</v>
      </c>
      <c r="H8" s="121">
        <f>C8*Lider!C124</f>
        <v>505.09707642005242</v>
      </c>
      <c r="I8" s="121">
        <f>SUM(D8:H8)</f>
        <v>2768.7196960348924</v>
      </c>
      <c r="J8" s="121">
        <f t="shared" si="0"/>
        <v>33224.636352418711</v>
      </c>
      <c r="K8" s="120"/>
    </row>
    <row r="9" spans="1:11" ht="24.95" customHeight="1">
      <c r="A9" s="273" t="s">
        <v>162</v>
      </c>
      <c r="B9" s="274"/>
      <c r="C9" s="129">
        <f t="shared" ref="C9:I9" si="1">SUM(C4:C8)</f>
        <v>14</v>
      </c>
      <c r="D9" s="123" t="e">
        <f t="shared" si="1"/>
        <v>#REF!</v>
      </c>
      <c r="E9" s="123" t="e">
        <f t="shared" si="1"/>
        <v>#REF!</v>
      </c>
      <c r="F9" s="123" t="e">
        <f t="shared" si="1"/>
        <v>#REF!</v>
      </c>
      <c r="G9" s="123" t="e">
        <f t="shared" si="1"/>
        <v>#REF!</v>
      </c>
      <c r="H9" s="123" t="e">
        <f t="shared" si="1"/>
        <v>#REF!</v>
      </c>
      <c r="I9" s="123" t="e">
        <f t="shared" si="1"/>
        <v>#REF!</v>
      </c>
      <c r="J9" s="121" t="e">
        <f t="shared" si="0"/>
        <v>#REF!</v>
      </c>
    </row>
    <row r="10" spans="1:11" ht="24.95" customHeight="1" thickBot="1">
      <c r="A10" s="276" t="s">
        <v>219</v>
      </c>
      <c r="B10" s="276"/>
      <c r="C10" s="276"/>
      <c r="D10" s="276"/>
      <c r="E10" s="276"/>
      <c r="F10" s="276"/>
      <c r="G10" s="276"/>
      <c r="H10" s="276"/>
      <c r="I10" s="197">
        <v>43972.11</v>
      </c>
    </row>
    <row r="11" spans="1:11" ht="24.95" customHeight="1" thickBot="1">
      <c r="A11" s="277" t="s">
        <v>220</v>
      </c>
      <c r="B11" s="277"/>
      <c r="C11" s="277"/>
      <c r="D11" s="277"/>
      <c r="E11" s="277"/>
      <c r="F11" s="277"/>
      <c r="G11" s="277"/>
      <c r="H11" s="278"/>
      <c r="I11" s="198">
        <f>I10*12</f>
        <v>527665.32000000007</v>
      </c>
    </row>
    <row r="12" spans="1:11" ht="24.95" customHeight="1"/>
    <row r="13" spans="1:11" ht="24.95" customHeight="1"/>
  </sheetData>
  <mergeCells count="5">
    <mergeCell ref="A2:I2"/>
    <mergeCell ref="A9:B9"/>
    <mergeCell ref="A1:I1"/>
    <mergeCell ref="A10:H10"/>
    <mergeCell ref="A11:H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49"/>
  <sheetViews>
    <sheetView workbookViewId="0">
      <selection activeCell="B37" sqref="B37:C44"/>
    </sheetView>
  </sheetViews>
  <sheetFormatPr defaultColWidth="9.28515625" defaultRowHeight="12.75"/>
  <cols>
    <col min="1" max="1" width="35.140625" bestFit="1" customWidth="1"/>
    <col min="2" max="2" width="20.140625" bestFit="1" customWidth="1"/>
    <col min="3" max="3" width="17.42578125" bestFit="1" customWidth="1"/>
    <col min="4" max="4" width="16.140625" bestFit="1" customWidth="1"/>
    <col min="5" max="5" width="10.42578125" customWidth="1"/>
    <col min="6" max="6" width="14.28515625" style="205" customWidth="1"/>
  </cols>
  <sheetData>
    <row r="1" spans="1:4" ht="17.100000000000001" customHeight="1">
      <c r="A1" s="279" t="s">
        <v>190</v>
      </c>
      <c r="B1" s="280"/>
      <c r="C1" s="280"/>
      <c r="D1" s="280"/>
    </row>
    <row r="2" spans="1:4" ht="17.100000000000001" customHeight="1">
      <c r="A2" s="286" t="s">
        <v>194</v>
      </c>
      <c r="B2" s="287"/>
      <c r="C2" s="287"/>
      <c r="D2" s="288"/>
    </row>
    <row r="3" spans="1:4" ht="25.5">
      <c r="A3" s="104" t="s">
        <v>125</v>
      </c>
      <c r="B3" s="105" t="s">
        <v>126</v>
      </c>
      <c r="C3" s="105" t="s">
        <v>127</v>
      </c>
      <c r="D3" s="105" t="s">
        <v>128</v>
      </c>
    </row>
    <row r="4" spans="1:4" ht="17.100000000000001" customHeight="1">
      <c r="A4" s="284" t="s">
        <v>148</v>
      </c>
      <c r="B4" s="284"/>
      <c r="C4" s="284"/>
      <c r="D4" s="284"/>
    </row>
    <row r="5" spans="1:4" ht="17.100000000000001" customHeight="1">
      <c r="A5" s="281" t="s">
        <v>141</v>
      </c>
      <c r="B5" s="281"/>
      <c r="C5" s="281"/>
      <c r="D5" s="281"/>
    </row>
    <row r="6" spans="1:4" ht="17.100000000000001" customHeight="1">
      <c r="A6" s="103" t="s">
        <v>168</v>
      </c>
      <c r="B6" s="96">
        <f>1/600</f>
        <v>1.6666666666666668E-3</v>
      </c>
      <c r="C6" s="97">
        <f>Servente!C125</f>
        <v>3114.4106746233042</v>
      </c>
      <c r="D6" s="97">
        <f>+C6*B6</f>
        <v>5.1906844577055073</v>
      </c>
    </row>
    <row r="7" spans="1:4" ht="17.100000000000001" customHeight="1">
      <c r="A7" s="103" t="s">
        <v>193</v>
      </c>
      <c r="B7" s="96">
        <f>1/(600*13)</f>
        <v>1.2820512820512821E-4</v>
      </c>
      <c r="C7" s="97">
        <f>Lider!C125</f>
        <v>2768.7196960348924</v>
      </c>
      <c r="D7" s="97">
        <f>+C7*B7</f>
        <v>0.35496406359421695</v>
      </c>
    </row>
    <row r="8" spans="1:4" ht="17.100000000000001" customHeight="1" thickBot="1">
      <c r="A8" s="283" t="s">
        <v>140</v>
      </c>
      <c r="B8" s="283"/>
      <c r="C8" s="283"/>
      <c r="D8" s="98">
        <f>D7+D6</f>
        <v>5.5456485212997242</v>
      </c>
    </row>
    <row r="9" spans="1:4" ht="17.100000000000001" customHeight="1">
      <c r="A9" s="281" t="s">
        <v>198</v>
      </c>
      <c r="B9" s="281"/>
      <c r="C9" s="281"/>
      <c r="D9" s="281"/>
    </row>
    <row r="10" spans="1:4" ht="17.100000000000001" customHeight="1">
      <c r="A10" s="103" t="s">
        <v>168</v>
      </c>
      <c r="B10" s="96">
        <f>1/1350</f>
        <v>7.407407407407407E-4</v>
      </c>
      <c r="C10" s="97">
        <f>Servente!C125</f>
        <v>3114.4106746233042</v>
      </c>
      <c r="D10" s="97">
        <f>+C10*B10</f>
        <v>2.3069708700913365</v>
      </c>
    </row>
    <row r="11" spans="1:4" ht="17.100000000000001" customHeight="1">
      <c r="A11" s="103" t="s">
        <v>193</v>
      </c>
      <c r="B11" s="96">
        <f>1/(1350*13)</f>
        <v>5.6980056980056978E-5</v>
      </c>
      <c r="C11" s="97">
        <f>Lider!C125</f>
        <v>2768.7196960348924</v>
      </c>
      <c r="D11" s="97">
        <f>+C11*B11</f>
        <v>0.1577618060418742</v>
      </c>
    </row>
    <row r="12" spans="1:4" ht="17.100000000000001" customHeight="1" thickBot="1">
      <c r="A12" s="283" t="s">
        <v>140</v>
      </c>
      <c r="B12" s="283"/>
      <c r="C12" s="283"/>
      <c r="D12" s="98">
        <f>D11+D10</f>
        <v>2.4647326761332109</v>
      </c>
    </row>
    <row r="13" spans="1:4" ht="17.100000000000001" customHeight="1">
      <c r="A13" s="281" t="s">
        <v>141</v>
      </c>
      <c r="B13" s="281"/>
      <c r="C13" s="281"/>
      <c r="D13" s="281"/>
    </row>
    <row r="14" spans="1:4" ht="17.100000000000001" customHeight="1">
      <c r="A14" s="103" t="s">
        <v>197</v>
      </c>
      <c r="B14" s="96">
        <f>1/600</f>
        <v>1.6666666666666668E-3</v>
      </c>
      <c r="C14" s="97">
        <f>'[3]Lavador Veículos'!C125</f>
        <v>3727.9346729133017</v>
      </c>
      <c r="D14" s="97">
        <f>+C14*B14</f>
        <v>6.2132244548555029</v>
      </c>
    </row>
    <row r="15" spans="1:4" ht="17.100000000000001" customHeight="1">
      <c r="A15" s="103" t="s">
        <v>193</v>
      </c>
      <c r="B15" s="96">
        <f>1/(600*13)</f>
        <v>1.2820512820512821E-4</v>
      </c>
      <c r="C15" s="97">
        <f>Lider!C125</f>
        <v>2768.7196960348924</v>
      </c>
      <c r="D15" s="97">
        <f>+C15*B15</f>
        <v>0.35496406359421695</v>
      </c>
    </row>
    <row r="16" spans="1:4" ht="17.100000000000001" customHeight="1" thickBot="1">
      <c r="A16" s="283" t="s">
        <v>140</v>
      </c>
      <c r="B16" s="283"/>
      <c r="C16" s="283"/>
      <c r="D16" s="203">
        <f>D15+D14</f>
        <v>6.5681885184497197</v>
      </c>
    </row>
    <row r="17" spans="1:4" ht="17.100000000000001" customHeight="1">
      <c r="A17" s="284" t="s">
        <v>149</v>
      </c>
      <c r="B17" s="284"/>
      <c r="C17" s="284"/>
      <c r="D17" s="284"/>
    </row>
    <row r="18" spans="1:4" ht="17.100000000000001" customHeight="1">
      <c r="A18" s="281" t="s">
        <v>142</v>
      </c>
      <c r="B18" s="281"/>
      <c r="C18" s="281"/>
      <c r="D18" s="281"/>
    </row>
    <row r="19" spans="1:4" ht="17.100000000000001" customHeight="1">
      <c r="A19" s="103" t="s">
        <v>168</v>
      </c>
      <c r="B19" s="99">
        <f>1/6000</f>
        <v>1.6666666666666666E-4</v>
      </c>
      <c r="C19" s="100">
        <f>Servente!C125</f>
        <v>3114.4106746233042</v>
      </c>
      <c r="D19" s="204">
        <f>+C19*B19</f>
        <v>0.51906844577055067</v>
      </c>
    </row>
    <row r="20" spans="1:4" ht="17.100000000000001" customHeight="1">
      <c r="A20" s="103" t="s">
        <v>193</v>
      </c>
      <c r="B20" s="99">
        <f>1/(6000*13)</f>
        <v>1.282051282051282E-5</v>
      </c>
      <c r="C20" s="100">
        <f>Lider!C125</f>
        <v>2768.7196960348924</v>
      </c>
      <c r="D20" s="204">
        <f>+C20*B20</f>
        <v>3.5496406359421695E-2</v>
      </c>
    </row>
    <row r="21" spans="1:4" ht="17.100000000000001" customHeight="1" thickBot="1">
      <c r="A21" s="283" t="s">
        <v>146</v>
      </c>
      <c r="B21" s="283"/>
      <c r="C21" s="283"/>
      <c r="D21" s="202">
        <f>D20+D19</f>
        <v>0.55456485212997242</v>
      </c>
    </row>
    <row r="22" spans="1:4" ht="17.100000000000001" customHeight="1">
      <c r="A22" s="281" t="s">
        <v>199</v>
      </c>
      <c r="B22" s="281"/>
      <c r="C22" s="281"/>
      <c r="D22" s="281"/>
    </row>
    <row r="23" spans="1:4" ht="17.100000000000001" customHeight="1">
      <c r="A23" s="103" t="s">
        <v>168</v>
      </c>
      <c r="B23" s="99">
        <f>1/1200</f>
        <v>8.3333333333333339E-4</v>
      </c>
      <c r="C23" s="100">
        <f>Servente!C125</f>
        <v>3114.4106746233042</v>
      </c>
      <c r="D23" s="97">
        <f>+C23*B23</f>
        <v>2.5953422288527537</v>
      </c>
    </row>
    <row r="24" spans="1:4" ht="17.100000000000001" customHeight="1">
      <c r="A24" s="103" t="s">
        <v>193</v>
      </c>
      <c r="B24" s="99">
        <f>1/(1200*13)</f>
        <v>6.4102564102564103E-5</v>
      </c>
      <c r="C24" s="100">
        <f>Lider!C125</f>
        <v>2768.7196960348924</v>
      </c>
      <c r="D24" s="97">
        <f>+C24*B24</f>
        <v>0.17748203179710847</v>
      </c>
    </row>
    <row r="25" spans="1:4" ht="17.100000000000001" customHeight="1" thickBot="1">
      <c r="A25" s="283" t="s">
        <v>146</v>
      </c>
      <c r="B25" s="283"/>
      <c r="C25" s="283"/>
      <c r="D25" s="98">
        <f>D23+D24</f>
        <v>2.7728242606498621</v>
      </c>
    </row>
    <row r="26" spans="1:4" ht="17.100000000000001" customHeight="1">
      <c r="A26" s="281" t="s">
        <v>199</v>
      </c>
      <c r="B26" s="281"/>
      <c r="C26" s="281"/>
      <c r="D26" s="281"/>
    </row>
    <row r="27" spans="1:4" ht="17.100000000000001" customHeight="1">
      <c r="A27" s="103" t="s">
        <v>225</v>
      </c>
      <c r="B27" s="99">
        <f>1/1200</f>
        <v>8.3333333333333339E-4</v>
      </c>
      <c r="C27" s="100" t="e">
        <f>#REF!</f>
        <v>#REF!</v>
      </c>
      <c r="D27" s="97" t="e">
        <f>+C27*B27</f>
        <v>#REF!</v>
      </c>
    </row>
    <row r="28" spans="1:4" ht="17.100000000000001" customHeight="1">
      <c r="A28" s="103" t="s">
        <v>193</v>
      </c>
      <c r="B28" s="99">
        <f>1/(1200*13)</f>
        <v>6.4102564102564103E-5</v>
      </c>
      <c r="C28" s="100">
        <f>Lider!C125</f>
        <v>2768.7196960348924</v>
      </c>
      <c r="D28" s="97">
        <f>+C28*B28</f>
        <v>0.17748203179710847</v>
      </c>
    </row>
    <row r="29" spans="1:4" ht="17.100000000000001" customHeight="1" thickBot="1">
      <c r="A29" s="283" t="s">
        <v>146</v>
      </c>
      <c r="B29" s="283"/>
      <c r="C29" s="283"/>
      <c r="D29" s="98" t="e">
        <f>D27+D28</f>
        <v>#REF!</v>
      </c>
    </row>
    <row r="30" spans="1:4" ht="17.100000000000001" customHeight="1">
      <c r="A30" s="289" t="s">
        <v>143</v>
      </c>
      <c r="B30" s="290"/>
      <c r="C30" s="290"/>
      <c r="D30" s="291"/>
    </row>
    <row r="31" spans="1:4" ht="17.100000000000001" customHeight="1">
      <c r="A31" s="281" t="s">
        <v>144</v>
      </c>
      <c r="B31" s="281"/>
      <c r="C31" s="281"/>
      <c r="D31" s="281"/>
    </row>
    <row r="32" spans="1:4" ht="17.100000000000001" customHeight="1">
      <c r="A32" s="103" t="s">
        <v>168</v>
      </c>
      <c r="B32" s="99">
        <f>1/220</f>
        <v>4.5454545454545452E-3</v>
      </c>
      <c r="C32" s="100">
        <f>Servente!C125</f>
        <v>3114.4106746233042</v>
      </c>
      <c r="D32" s="97">
        <f>+C32*B32</f>
        <v>14.156412157378655</v>
      </c>
    </row>
    <row r="33" spans="1:6" ht="17.100000000000001" customHeight="1">
      <c r="A33" s="103" t="s">
        <v>193</v>
      </c>
      <c r="B33" s="99">
        <f>1/(220*13)</f>
        <v>3.4965034965034965E-4</v>
      </c>
      <c r="C33" s="100">
        <f>Lider!C125</f>
        <v>2768.7196960348924</v>
      </c>
      <c r="D33" s="97">
        <f>+C33*B33</f>
        <v>0.96808380980240993</v>
      </c>
    </row>
    <row r="34" spans="1:6" ht="17.100000000000001" customHeight="1" thickBot="1">
      <c r="A34" s="283" t="s">
        <v>147</v>
      </c>
      <c r="B34" s="283"/>
      <c r="C34" s="283"/>
      <c r="D34" s="98">
        <f>D33+D32</f>
        <v>15.124495967181065</v>
      </c>
    </row>
    <row r="35" spans="1:6" ht="17.100000000000001" customHeight="1">
      <c r="A35" s="282" t="s">
        <v>145</v>
      </c>
      <c r="B35" s="282"/>
      <c r="C35" s="282"/>
      <c r="D35" s="282"/>
    </row>
    <row r="36" spans="1:6" ht="25.5">
      <c r="A36" s="104" t="s">
        <v>125</v>
      </c>
      <c r="B36" s="105" t="s">
        <v>129</v>
      </c>
      <c r="C36" s="105" t="s">
        <v>130</v>
      </c>
      <c r="D36" s="105" t="s">
        <v>131</v>
      </c>
    </row>
    <row r="37" spans="1:6" ht="17.100000000000001" customHeight="1">
      <c r="A37" s="103" t="s">
        <v>138</v>
      </c>
      <c r="B37" s="100"/>
      <c r="C37" s="101"/>
      <c r="D37" s="102">
        <f>+C37*B37</f>
        <v>0</v>
      </c>
      <c r="E37" t="s">
        <v>228</v>
      </c>
      <c r="F37" s="205">
        <f>D37*12</f>
        <v>0</v>
      </c>
    </row>
    <row r="38" spans="1:6" ht="17.100000000000001" customHeight="1">
      <c r="A38" s="103" t="s">
        <v>210</v>
      </c>
      <c r="B38" s="100"/>
      <c r="C38" s="101"/>
      <c r="D38" s="102">
        <f t="shared" ref="D38:D44" si="0">+C38*B38</f>
        <v>0</v>
      </c>
      <c r="E38" t="s">
        <v>233</v>
      </c>
      <c r="F38" s="205">
        <f>D38*12</f>
        <v>0</v>
      </c>
    </row>
    <row r="39" spans="1:6" ht="38.25">
      <c r="A39" s="133" t="s">
        <v>170</v>
      </c>
      <c r="B39" s="130"/>
      <c r="C39" s="131"/>
      <c r="D39" s="132">
        <f t="shared" si="0"/>
        <v>0</v>
      </c>
      <c r="E39" s="292" t="s">
        <v>232</v>
      </c>
      <c r="F39" s="293">
        <f>(D39+D40)*12</f>
        <v>0</v>
      </c>
    </row>
    <row r="40" spans="1:6" ht="17.100000000000001" customHeight="1">
      <c r="A40" s="103" t="s">
        <v>191</v>
      </c>
      <c r="B40" s="100"/>
      <c r="C40" s="101"/>
      <c r="D40" s="102">
        <f t="shared" si="0"/>
        <v>0</v>
      </c>
      <c r="E40" s="292"/>
      <c r="F40" s="293"/>
    </row>
    <row r="41" spans="1:6" ht="17.100000000000001" customHeight="1">
      <c r="A41" s="103" t="s">
        <v>221</v>
      </c>
      <c r="B41" s="100"/>
      <c r="C41" s="101"/>
      <c r="D41" s="102">
        <f t="shared" si="0"/>
        <v>0</v>
      </c>
      <c r="E41" t="s">
        <v>229</v>
      </c>
      <c r="F41" s="205">
        <f>D41*12</f>
        <v>0</v>
      </c>
    </row>
    <row r="42" spans="1:6" ht="17.100000000000001" customHeight="1">
      <c r="A42" s="103" t="s">
        <v>227</v>
      </c>
      <c r="B42" s="100"/>
      <c r="C42" s="101"/>
      <c r="D42" s="102">
        <f t="shared" si="0"/>
        <v>0</v>
      </c>
      <c r="E42" s="292" t="s">
        <v>230</v>
      </c>
      <c r="F42" s="293">
        <f>(D42+D43)*12</f>
        <v>0</v>
      </c>
    </row>
    <row r="43" spans="1:6" ht="17.100000000000001" customHeight="1">
      <c r="A43" s="103" t="s">
        <v>226</v>
      </c>
      <c r="B43" s="100"/>
      <c r="C43" s="201"/>
      <c r="D43" s="102">
        <f>+C43*B43</f>
        <v>0</v>
      </c>
      <c r="E43" s="292"/>
      <c r="F43" s="293"/>
    </row>
    <row r="44" spans="1:6" ht="17.100000000000001" customHeight="1">
      <c r="A44" s="103" t="s">
        <v>139</v>
      </c>
      <c r="B44" s="100"/>
      <c r="C44" s="101"/>
      <c r="D44" s="102">
        <f t="shared" si="0"/>
        <v>0</v>
      </c>
      <c r="E44" t="s">
        <v>231</v>
      </c>
      <c r="F44" s="205">
        <f>D44*12</f>
        <v>0</v>
      </c>
    </row>
    <row r="45" spans="1:6" ht="17.100000000000001" customHeight="1" thickBot="1">
      <c r="A45" s="283" t="s">
        <v>222</v>
      </c>
      <c r="B45" s="283"/>
      <c r="C45" s="283"/>
      <c r="D45" s="200">
        <f>SUM(D37:D44)</f>
        <v>0</v>
      </c>
      <c r="F45" s="206">
        <f>SUM(F37:F44)</f>
        <v>0</v>
      </c>
    </row>
    <row r="46" spans="1:6" ht="17.100000000000001" customHeight="1" thickBot="1">
      <c r="A46" s="283" t="s">
        <v>223</v>
      </c>
      <c r="B46" s="283"/>
      <c r="C46" s="283"/>
      <c r="D46" s="200">
        <f>D45*12</f>
        <v>0</v>
      </c>
    </row>
    <row r="47" spans="1:6">
      <c r="D47" s="199"/>
    </row>
    <row r="48" spans="1:6">
      <c r="D48" s="120"/>
    </row>
    <row r="49" spans="1:4" ht="32.25" customHeight="1">
      <c r="A49" s="285" t="s">
        <v>224</v>
      </c>
      <c r="B49" s="285"/>
      <c r="C49" s="285"/>
      <c r="D49" s="285"/>
    </row>
  </sheetData>
  <sheetProtection selectLockedCells="1" selectUnlockedCells="1"/>
  <mergeCells count="27">
    <mergeCell ref="E42:E43"/>
    <mergeCell ref="F39:F40"/>
    <mergeCell ref="F42:F43"/>
    <mergeCell ref="A31:D31"/>
    <mergeCell ref="A34:C34"/>
    <mergeCell ref="E39:E40"/>
    <mergeCell ref="A45:C45"/>
    <mergeCell ref="A46:C46"/>
    <mergeCell ref="A49:D49"/>
    <mergeCell ref="A26:D26"/>
    <mergeCell ref="A29:C29"/>
    <mergeCell ref="A30:D30"/>
    <mergeCell ref="A1:D1"/>
    <mergeCell ref="A22:D22"/>
    <mergeCell ref="A35:D35"/>
    <mergeCell ref="A9:D9"/>
    <mergeCell ref="A8:C8"/>
    <mergeCell ref="A21:C21"/>
    <mergeCell ref="A25:C25"/>
    <mergeCell ref="A4:D4"/>
    <mergeCell ref="A18:D18"/>
    <mergeCell ref="A2:D2"/>
    <mergeCell ref="A17:D17"/>
    <mergeCell ref="A13:D13"/>
    <mergeCell ref="A16:C16"/>
    <mergeCell ref="A5:D5"/>
    <mergeCell ref="A12:C12"/>
  </mergeCells>
  <pageMargins left="0.51180555555555551" right="0.51180555555555551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>
      <selection activeCell="H7" sqref="H7"/>
    </sheetView>
  </sheetViews>
  <sheetFormatPr defaultRowHeight="12.75"/>
  <cols>
    <col min="1" max="1" width="5.42578125" style="162" bestFit="1" customWidth="1"/>
    <col min="2" max="2" width="17.28515625" style="163" bestFit="1" customWidth="1"/>
    <col min="3" max="3" width="22.85546875" style="163" bestFit="1" customWidth="1"/>
    <col min="4" max="4" width="31" bestFit="1" customWidth="1"/>
    <col min="5" max="5" width="23.7109375" style="164" customWidth="1"/>
    <col min="6" max="6" width="20.5703125" style="165" bestFit="1" customWidth="1"/>
  </cols>
  <sheetData>
    <row r="1" spans="1:6" ht="20.100000000000001" customHeight="1">
      <c r="A1" s="246" t="s">
        <v>190</v>
      </c>
      <c r="B1" s="246"/>
      <c r="C1" s="246"/>
      <c r="D1" s="246"/>
      <c r="E1" s="246"/>
      <c r="F1" s="246"/>
    </row>
    <row r="2" spans="1:6" ht="20.100000000000001" customHeight="1">
      <c r="A2" s="246" t="s">
        <v>196</v>
      </c>
      <c r="B2" s="246"/>
      <c r="C2" s="246"/>
      <c r="D2" s="246"/>
      <c r="E2" s="246"/>
      <c r="F2" s="246"/>
    </row>
    <row r="3" spans="1:6" ht="24.95" customHeight="1">
      <c r="A3" s="151" t="s">
        <v>179</v>
      </c>
      <c r="B3" s="152" t="s">
        <v>180</v>
      </c>
      <c r="C3" s="152" t="s">
        <v>181</v>
      </c>
      <c r="D3" s="153" t="s">
        <v>182</v>
      </c>
      <c r="E3" s="154" t="s">
        <v>183</v>
      </c>
      <c r="F3" s="155" t="s">
        <v>184</v>
      </c>
    </row>
    <row r="4" spans="1:6" ht="24.95" customHeight="1">
      <c r="A4" s="156">
        <v>1</v>
      </c>
      <c r="B4" s="157"/>
      <c r="C4" s="157"/>
      <c r="D4" s="158" t="s">
        <v>185</v>
      </c>
      <c r="E4" s="156">
        <v>1200</v>
      </c>
      <c r="F4" s="159"/>
    </row>
    <row r="5" spans="1:6" ht="24.95" customHeight="1">
      <c r="A5" s="156">
        <v>3</v>
      </c>
      <c r="B5" s="157"/>
      <c r="C5" s="157"/>
      <c r="D5" s="158" t="s">
        <v>186</v>
      </c>
      <c r="E5" s="156">
        <v>2700</v>
      </c>
      <c r="F5" s="159"/>
    </row>
    <row r="6" spans="1:6" ht="24.95" customHeight="1">
      <c r="A6" s="156">
        <v>5</v>
      </c>
      <c r="B6" s="157"/>
      <c r="C6" s="157"/>
      <c r="D6" s="158" t="s">
        <v>187</v>
      </c>
      <c r="E6" s="156">
        <v>380</v>
      </c>
      <c r="F6" s="301"/>
    </row>
    <row r="7" spans="1:6" ht="24.95" customHeight="1">
      <c r="A7" s="160" t="s">
        <v>162</v>
      </c>
      <c r="B7" s="161">
        <f>SUM(B4:B6)</f>
        <v>0</v>
      </c>
      <c r="C7" s="161">
        <f>SUM(C4:C6)</f>
        <v>0</v>
      </c>
      <c r="D7" s="247"/>
      <c r="E7" s="248"/>
      <c r="F7" s="166">
        <f>SUM(F4:F6)</f>
        <v>0</v>
      </c>
    </row>
    <row r="8" spans="1:6" ht="24.95" customHeight="1">
      <c r="A8" s="156">
        <v>7</v>
      </c>
      <c r="B8" s="249" t="s">
        <v>188</v>
      </c>
      <c r="C8" s="250"/>
      <c r="D8" s="250"/>
      <c r="E8" s="251"/>
      <c r="F8" s="167">
        <v>1</v>
      </c>
    </row>
    <row r="9" spans="1:6" ht="24.95" customHeight="1">
      <c r="A9" s="247" t="s">
        <v>189</v>
      </c>
      <c r="B9" s="252"/>
      <c r="C9" s="252"/>
      <c r="D9" s="252"/>
      <c r="E9" s="248"/>
      <c r="F9" s="166">
        <f>F7+F8</f>
        <v>1</v>
      </c>
    </row>
    <row r="10" spans="1:6" ht="24.95" customHeight="1"/>
    <row r="11" spans="1:6" ht="24.95" customHeight="1"/>
  </sheetData>
  <mergeCells count="5">
    <mergeCell ref="A1:F1"/>
    <mergeCell ref="D7:E7"/>
    <mergeCell ref="B8:E8"/>
    <mergeCell ref="A9:E9"/>
    <mergeCell ref="A2:F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9"/>
  <sheetViews>
    <sheetView workbookViewId="0">
      <selection activeCell="G17" sqref="G17"/>
    </sheetView>
  </sheetViews>
  <sheetFormatPr defaultRowHeight="12.75"/>
  <cols>
    <col min="5" max="5" width="29.140625" bestFit="1" customWidth="1"/>
    <col min="9" max="9" width="10.5703125" bestFit="1" customWidth="1"/>
    <col min="10" max="10" width="13.28515625" bestFit="1" customWidth="1"/>
  </cols>
  <sheetData>
    <row r="1" spans="1:10" ht="20.100000000000001" customHeight="1">
      <c r="A1" s="296" t="s">
        <v>200</v>
      </c>
      <c r="B1" s="296"/>
      <c r="C1" s="296"/>
      <c r="D1" s="296"/>
      <c r="E1" s="296"/>
      <c r="F1" s="296"/>
      <c r="G1" s="296"/>
      <c r="H1" s="296"/>
      <c r="I1" s="296"/>
      <c r="J1" s="296"/>
    </row>
    <row r="2" spans="1:10" ht="20.100000000000001" customHeight="1">
      <c r="A2" s="298" t="s">
        <v>209</v>
      </c>
      <c r="B2" s="298"/>
      <c r="C2" s="298"/>
      <c r="D2" s="298"/>
      <c r="E2" s="298"/>
      <c r="F2" s="298"/>
      <c r="G2" s="298"/>
      <c r="H2" s="298"/>
      <c r="I2" s="298"/>
      <c r="J2" s="298"/>
    </row>
    <row r="3" spans="1:10" ht="38.25">
      <c r="A3" s="168" t="s">
        <v>179</v>
      </c>
      <c r="B3" s="295" t="s">
        <v>180</v>
      </c>
      <c r="C3" s="295"/>
      <c r="D3" s="168" t="s">
        <v>181</v>
      </c>
      <c r="E3" s="168" t="s">
        <v>182</v>
      </c>
      <c r="F3" s="168" t="s">
        <v>183</v>
      </c>
      <c r="G3" s="168" t="s">
        <v>201</v>
      </c>
      <c r="H3" s="168" t="s">
        <v>202</v>
      </c>
      <c r="I3" s="168" t="s">
        <v>203</v>
      </c>
      <c r="J3" s="168" t="s">
        <v>204</v>
      </c>
    </row>
    <row r="4" spans="1:10" ht="20.100000000000001" customHeight="1">
      <c r="A4" s="170">
        <v>1</v>
      </c>
      <c r="B4" s="297">
        <v>7607.54</v>
      </c>
      <c r="C4" s="297"/>
      <c r="D4" s="171">
        <v>3099.85</v>
      </c>
      <c r="E4" s="170" t="s">
        <v>185</v>
      </c>
      <c r="F4" s="170">
        <v>1200</v>
      </c>
      <c r="G4" s="170"/>
      <c r="H4" s="170"/>
      <c r="I4" s="169">
        <f t="shared" ref="I4:I6" si="0">D4*G4</f>
        <v>0</v>
      </c>
      <c r="J4" s="169">
        <f t="shared" ref="J4:J6" si="1">D4*H4</f>
        <v>0</v>
      </c>
    </row>
    <row r="5" spans="1:10" ht="20.100000000000001" customHeight="1">
      <c r="A5" s="170">
        <v>3</v>
      </c>
      <c r="B5" s="297">
        <v>31460.71</v>
      </c>
      <c r="C5" s="297"/>
      <c r="D5" s="171">
        <v>4494.3900000000003</v>
      </c>
      <c r="E5" s="170" t="s">
        <v>186</v>
      </c>
      <c r="F5" s="170">
        <v>2700</v>
      </c>
      <c r="G5" s="170"/>
      <c r="H5" s="170"/>
      <c r="I5" s="169">
        <f t="shared" si="0"/>
        <v>0</v>
      </c>
      <c r="J5" s="169">
        <f t="shared" si="1"/>
        <v>0</v>
      </c>
    </row>
    <row r="6" spans="1:10" ht="20.100000000000001" customHeight="1">
      <c r="A6" s="170">
        <v>5</v>
      </c>
      <c r="B6" s="297">
        <v>6038</v>
      </c>
      <c r="C6" s="297"/>
      <c r="D6" s="170">
        <v>205.24</v>
      </c>
      <c r="E6" s="170" t="s">
        <v>187</v>
      </c>
      <c r="F6" s="170">
        <v>380</v>
      </c>
      <c r="G6" s="170"/>
      <c r="H6" s="170"/>
      <c r="I6" s="169">
        <f t="shared" si="0"/>
        <v>0</v>
      </c>
      <c r="J6" s="169">
        <f t="shared" si="1"/>
        <v>0</v>
      </c>
    </row>
    <row r="7" spans="1:10" ht="20.100000000000001" customHeight="1">
      <c r="A7" s="172" t="s">
        <v>162</v>
      </c>
      <c r="B7" s="299">
        <v>292828.84000000003</v>
      </c>
      <c r="C7" s="299"/>
      <c r="D7" s="173">
        <v>14185.7</v>
      </c>
      <c r="E7" s="300" t="s">
        <v>205</v>
      </c>
      <c r="F7" s="300"/>
      <c r="G7" s="300"/>
      <c r="H7" s="300"/>
      <c r="I7" s="173">
        <f>SUM(I4:I6)</f>
        <v>0</v>
      </c>
      <c r="J7" s="173">
        <f>SUM(J4:J6)</f>
        <v>0</v>
      </c>
    </row>
    <row r="8" spans="1:10" ht="20.100000000000001" customHeight="1">
      <c r="A8" s="300" t="s">
        <v>206</v>
      </c>
      <c r="B8" s="300"/>
      <c r="C8" s="300"/>
      <c r="D8" s="300"/>
      <c r="E8" s="300"/>
      <c r="F8" s="300"/>
      <c r="G8" s="300"/>
      <c r="H8" s="300"/>
      <c r="I8" s="173">
        <f>I7*12</f>
        <v>0</v>
      </c>
      <c r="J8" s="173">
        <f>J7*12</f>
        <v>0</v>
      </c>
    </row>
    <row r="9" spans="1:10" ht="38.25" customHeight="1">
      <c r="A9" s="294" t="s">
        <v>207</v>
      </c>
      <c r="B9" s="294"/>
      <c r="C9" s="295" t="s">
        <v>208</v>
      </c>
      <c r="D9" s="295"/>
      <c r="E9" s="295"/>
      <c r="F9" s="295"/>
      <c r="G9" s="295"/>
      <c r="H9" s="295"/>
      <c r="I9" s="295"/>
      <c r="J9" s="295"/>
    </row>
  </sheetData>
  <mergeCells count="11">
    <mergeCell ref="A9:B9"/>
    <mergeCell ref="C9:J9"/>
    <mergeCell ref="A1:J1"/>
    <mergeCell ref="B3:C3"/>
    <mergeCell ref="B4:C4"/>
    <mergeCell ref="B5:C5"/>
    <mergeCell ref="A2:J2"/>
    <mergeCell ref="B6:C6"/>
    <mergeCell ref="B7:C7"/>
    <mergeCell ref="E7:H7"/>
    <mergeCell ref="A8:H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7"/>
  <sheetViews>
    <sheetView zoomScaleNormal="100" zoomScaleSheetLayoutView="100" workbookViewId="0">
      <selection activeCell="C3" sqref="C3:E4"/>
    </sheetView>
  </sheetViews>
  <sheetFormatPr defaultColWidth="11.42578125" defaultRowHeight="11.25"/>
  <cols>
    <col min="1" max="1" width="3.42578125" style="1" customWidth="1"/>
    <col min="2" max="2" width="65.42578125" style="1" bestFit="1" customWidth="1"/>
    <col min="3" max="3" width="6.140625" style="1" bestFit="1" customWidth="1"/>
    <col min="4" max="5" width="15.7109375" style="1" customWidth="1"/>
    <col min="6" max="16384" width="11.42578125" style="1"/>
  </cols>
  <sheetData>
    <row r="1" spans="2:5" ht="45" customHeight="1">
      <c r="B1" s="237" t="s">
        <v>177</v>
      </c>
      <c r="C1" s="237"/>
      <c r="D1" s="237"/>
      <c r="E1" s="237"/>
    </row>
    <row r="2" spans="2:5" ht="13.5" thickBot="1">
      <c r="B2" s="2"/>
      <c r="C2" s="3"/>
      <c r="D2" s="3"/>
      <c r="E2" s="3"/>
    </row>
    <row r="3" spans="2:5" ht="13.5" thickBot="1">
      <c r="B3" s="4" t="s">
        <v>0</v>
      </c>
      <c r="C3" s="238"/>
      <c r="D3" s="239"/>
      <c r="E3" s="239"/>
    </row>
    <row r="4" spans="2:5" ht="13.5" thickBot="1">
      <c r="B4" s="5" t="s">
        <v>1</v>
      </c>
      <c r="C4" s="239"/>
      <c r="D4" s="239"/>
      <c r="E4" s="239"/>
    </row>
    <row r="5" spans="2:5" ht="13.5" thickBot="1">
      <c r="B5" s="2"/>
      <c r="C5" s="3"/>
      <c r="D5" s="3"/>
      <c r="E5" s="3"/>
    </row>
    <row r="6" spans="2:5" ht="12.75">
      <c r="B6" s="6" t="s">
        <v>2</v>
      </c>
      <c r="C6" s="240" t="s">
        <v>178</v>
      </c>
      <c r="D6" s="240"/>
      <c r="E6" s="240"/>
    </row>
    <row r="7" spans="2:5" ht="12.75">
      <c r="B7" s="7" t="s">
        <v>3</v>
      </c>
      <c r="C7" s="241">
        <v>22</v>
      </c>
      <c r="D7" s="241"/>
      <c r="E7" s="241"/>
    </row>
    <row r="8" spans="2:5" ht="12.75">
      <c r="B8" s="8" t="s">
        <v>4</v>
      </c>
      <c r="C8" s="242">
        <v>957</v>
      </c>
      <c r="D8" s="242"/>
      <c r="E8" s="242"/>
    </row>
    <row r="9" spans="2:5" ht="12.75">
      <c r="B9" s="8" t="s">
        <v>5</v>
      </c>
      <c r="C9" s="243" t="s">
        <v>211</v>
      </c>
      <c r="D9" s="243"/>
      <c r="E9" s="243"/>
    </row>
    <row r="10" spans="2:5" ht="13.5" thickBot="1">
      <c r="B10" s="9" t="s">
        <v>6</v>
      </c>
      <c r="C10" s="244">
        <v>42736</v>
      </c>
      <c r="D10" s="244"/>
      <c r="E10" s="244"/>
    </row>
    <row r="11" spans="2:5" ht="12.75">
      <c r="B11" s="10"/>
      <c r="C11" s="11"/>
      <c r="D11" s="12"/>
      <c r="E11" s="12"/>
    </row>
    <row r="12" spans="2:5" ht="12" thickBot="1">
      <c r="C12" s="13"/>
      <c r="D12" s="13"/>
      <c r="E12" s="13"/>
    </row>
    <row r="13" spans="2:5" ht="12.75">
      <c r="B13" s="245" t="s">
        <v>7</v>
      </c>
      <c r="C13" s="245"/>
      <c r="D13" s="245"/>
      <c r="E13" s="245"/>
    </row>
    <row r="14" spans="2:5" ht="12.75">
      <c r="B14" s="14" t="s">
        <v>8</v>
      </c>
      <c r="C14" s="235" t="s">
        <v>9</v>
      </c>
      <c r="D14" s="235"/>
      <c r="E14" s="235"/>
    </row>
    <row r="15" spans="2:5" ht="12.75">
      <c r="B15" s="15" t="s">
        <v>10</v>
      </c>
      <c r="C15" s="228">
        <v>957</v>
      </c>
      <c r="D15" s="228"/>
      <c r="E15" s="228"/>
    </row>
    <row r="16" spans="2:5" ht="12.75">
      <c r="B16" s="15" t="s">
        <v>11</v>
      </c>
      <c r="C16" s="228"/>
      <c r="D16" s="228"/>
      <c r="E16" s="228"/>
    </row>
    <row r="17" spans="2:5" ht="12.75">
      <c r="B17" s="15" t="s">
        <v>12</v>
      </c>
      <c r="C17" s="228"/>
      <c r="D17" s="228"/>
      <c r="E17" s="228"/>
    </row>
    <row r="18" spans="2:5" ht="12.75">
      <c r="B18" s="16" t="s">
        <v>13</v>
      </c>
      <c r="C18" s="236"/>
      <c r="D18" s="236"/>
      <c r="E18" s="236"/>
    </row>
    <row r="19" spans="2:5" ht="12.75">
      <c r="B19" s="16" t="s">
        <v>14</v>
      </c>
      <c r="C19" s="236"/>
      <c r="D19" s="236"/>
      <c r="E19" s="236"/>
    </row>
    <row r="20" spans="2:5" ht="12.75">
      <c r="B20" s="16" t="s">
        <v>15</v>
      </c>
      <c r="C20" s="236"/>
      <c r="D20" s="236"/>
      <c r="E20" s="236"/>
    </row>
    <row r="21" spans="2:5" ht="12.75">
      <c r="B21" s="16" t="s">
        <v>16</v>
      </c>
      <c r="C21" s="228"/>
      <c r="D21" s="228"/>
      <c r="E21" s="228"/>
    </row>
    <row r="22" spans="2:5" ht="12.75">
      <c r="B22" s="16" t="s">
        <v>217</v>
      </c>
      <c r="C22" s="228">
        <v>99.3</v>
      </c>
      <c r="D22" s="228"/>
      <c r="E22" s="228"/>
    </row>
    <row r="23" spans="2:5" ht="13.5" thickBot="1">
      <c r="B23" s="17" t="s">
        <v>17</v>
      </c>
      <c r="C23" s="213">
        <f>SUM(C15:E22)</f>
        <v>1056.3</v>
      </c>
      <c r="D23" s="213"/>
      <c r="E23" s="213"/>
    </row>
    <row r="24" spans="2:5" ht="12" thickBot="1">
      <c r="B24" s="232"/>
      <c r="C24" s="232"/>
      <c r="D24" s="232"/>
      <c r="E24" s="232"/>
    </row>
    <row r="25" spans="2:5" ht="13.5" thickBot="1">
      <c r="B25" s="227" t="s">
        <v>18</v>
      </c>
      <c r="C25" s="227"/>
      <c r="D25" s="227"/>
      <c r="E25" s="227"/>
    </row>
    <row r="26" spans="2:5" ht="13.5" thickBot="1">
      <c r="B26" s="18" t="s">
        <v>19</v>
      </c>
      <c r="C26" s="233" t="s">
        <v>9</v>
      </c>
      <c r="D26" s="233"/>
      <c r="E26" s="233"/>
    </row>
    <row r="27" spans="2:5" ht="12.75">
      <c r="B27" s="19" t="s">
        <v>20</v>
      </c>
      <c r="C27" s="234">
        <v>180</v>
      </c>
      <c r="D27" s="234"/>
      <c r="E27" s="234"/>
    </row>
    <row r="28" spans="2:5" ht="12.75">
      <c r="B28" s="15" t="s">
        <v>21</v>
      </c>
      <c r="C28" s="228">
        <v>198</v>
      </c>
      <c r="D28" s="228"/>
      <c r="E28" s="228"/>
    </row>
    <row r="29" spans="2:5" ht="12.75">
      <c r="B29" s="15" t="s">
        <v>215</v>
      </c>
      <c r="C29" s="228">
        <v>4</v>
      </c>
      <c r="D29" s="228"/>
      <c r="E29" s="228"/>
    </row>
    <row r="30" spans="2:5" ht="12.75">
      <c r="B30" s="15" t="s">
        <v>22</v>
      </c>
      <c r="C30" s="228"/>
      <c r="D30" s="228"/>
      <c r="E30" s="228"/>
    </row>
    <row r="31" spans="2:5" ht="12.75">
      <c r="B31" s="15" t="s">
        <v>23</v>
      </c>
      <c r="C31" s="228">
        <v>9.6999999999999993</v>
      </c>
      <c r="D31" s="228"/>
      <c r="E31" s="228"/>
    </row>
    <row r="32" spans="2:5" ht="12.75">
      <c r="B32" s="20" t="s">
        <v>24</v>
      </c>
      <c r="C32" s="228"/>
      <c r="D32" s="228"/>
      <c r="E32" s="228"/>
    </row>
    <row r="33" spans="2:5" ht="12.75">
      <c r="B33" s="15" t="s">
        <v>25</v>
      </c>
      <c r="C33" s="228"/>
      <c r="D33" s="228"/>
      <c r="E33" s="228"/>
    </row>
    <row r="34" spans="2:5" ht="13.5" thickBot="1">
      <c r="B34" s="17" t="s">
        <v>26</v>
      </c>
      <c r="C34" s="225">
        <f>SUM(C27:E33)</f>
        <v>391.7</v>
      </c>
      <c r="D34" s="225"/>
      <c r="E34" s="225"/>
    </row>
    <row r="35" spans="2:5" s="21" customFormat="1" ht="12" thickBot="1">
      <c r="B35" s="229"/>
      <c r="C35" s="229"/>
      <c r="D35" s="229"/>
      <c r="E35" s="229"/>
    </row>
    <row r="36" spans="2:5" s="21" customFormat="1" ht="13.5" thickBot="1">
      <c r="B36" s="227" t="s">
        <v>27</v>
      </c>
      <c r="C36" s="227"/>
      <c r="D36" s="227"/>
      <c r="E36" s="227"/>
    </row>
    <row r="37" spans="2:5" s="21" customFormat="1" ht="13.5" thickBot="1">
      <c r="B37" s="18" t="s">
        <v>28</v>
      </c>
      <c r="C37" s="230" t="s">
        <v>9</v>
      </c>
      <c r="D37" s="230"/>
      <c r="E37" s="230"/>
    </row>
    <row r="38" spans="2:5" s="21" customFormat="1" ht="12.75">
      <c r="B38" s="22" t="s">
        <v>30</v>
      </c>
      <c r="C38" s="231">
        <f>Equipamentos!J16</f>
        <v>0</v>
      </c>
      <c r="D38" s="231"/>
      <c r="E38" s="231"/>
    </row>
    <row r="39" spans="2:5" s="21" customFormat="1" ht="12.75">
      <c r="B39" s="23" t="s">
        <v>154</v>
      </c>
      <c r="C39" s="228">
        <f>'Materiais Consumo'!G51</f>
        <v>0</v>
      </c>
      <c r="D39" s="228"/>
      <c r="E39" s="228"/>
    </row>
    <row r="40" spans="2:5" s="21" customFormat="1" ht="12.75">
      <c r="B40" s="23" t="s">
        <v>155</v>
      </c>
      <c r="C40" s="228">
        <f>Utensílios!F30</f>
        <v>0</v>
      </c>
      <c r="D40" s="228"/>
      <c r="E40" s="228"/>
    </row>
    <row r="41" spans="2:5" s="21" customFormat="1" ht="12.75">
      <c r="B41" s="23" t="s">
        <v>150</v>
      </c>
      <c r="C41" s="228">
        <f>Uniforme!E25</f>
        <v>0</v>
      </c>
      <c r="D41" s="228"/>
      <c r="E41" s="228"/>
    </row>
    <row r="42" spans="2:5" s="21" customFormat="1" ht="12.75">
      <c r="B42" s="23" t="s">
        <v>29</v>
      </c>
      <c r="C42" s="228">
        <f>Uniforme!E10</f>
        <v>0</v>
      </c>
      <c r="D42" s="228"/>
      <c r="E42" s="228"/>
    </row>
    <row r="43" spans="2:5" s="21" customFormat="1" ht="13.5" thickBot="1">
      <c r="B43" s="24" t="s">
        <v>31</v>
      </c>
      <c r="C43" s="225">
        <f>SUM(C38:E42)</f>
        <v>0</v>
      </c>
      <c r="D43" s="225"/>
      <c r="E43" s="225"/>
    </row>
    <row r="44" spans="2:5" s="21" customFormat="1" ht="12" thickBot="1">
      <c r="B44" s="226"/>
      <c r="C44" s="226"/>
      <c r="D44" s="226"/>
      <c r="E44" s="226"/>
    </row>
    <row r="45" spans="2:5" s="21" customFormat="1" ht="13.5" thickBot="1">
      <c r="B45" s="227" t="s">
        <v>32</v>
      </c>
      <c r="C45" s="227"/>
      <c r="D45" s="227"/>
      <c r="E45" s="227"/>
    </row>
    <row r="46" spans="2:5" s="21" customFormat="1" ht="13.5" thickBot="1">
      <c r="B46" s="222" t="s">
        <v>33</v>
      </c>
      <c r="C46" s="222"/>
      <c r="D46" s="222"/>
      <c r="E46" s="222"/>
    </row>
    <row r="47" spans="2:5" s="21" customFormat="1" ht="13.5" thickBot="1">
      <c r="B47" s="25" t="s">
        <v>34</v>
      </c>
      <c r="C47" s="26" t="s">
        <v>35</v>
      </c>
      <c r="D47" s="220" t="s">
        <v>9</v>
      </c>
      <c r="E47" s="220"/>
    </row>
    <row r="48" spans="2:5" s="21" customFormat="1" ht="12.75">
      <c r="B48" s="27" t="s">
        <v>36</v>
      </c>
      <c r="C48" s="28">
        <v>20</v>
      </c>
      <c r="D48" s="216">
        <f>$C$23*(C48/100)</f>
        <v>211.26</v>
      </c>
      <c r="E48" s="216"/>
    </row>
    <row r="49" spans="2:5" s="21" customFormat="1" ht="12.75">
      <c r="B49" s="29" t="s">
        <v>37</v>
      </c>
      <c r="C49" s="30"/>
      <c r="D49" s="224">
        <f>$C$23*(C49/100)</f>
        <v>0</v>
      </c>
      <c r="E49" s="224"/>
    </row>
    <row r="50" spans="2:5" s="21" customFormat="1" ht="12.75">
      <c r="B50" s="29" t="s">
        <v>38</v>
      </c>
      <c r="C50" s="30"/>
      <c r="D50" s="224">
        <f t="shared" ref="D50:D55" si="0">$C$23*(C50/100)</f>
        <v>0</v>
      </c>
      <c r="E50" s="224"/>
    </row>
    <row r="51" spans="2:5" s="21" customFormat="1" ht="12.75">
      <c r="B51" s="29" t="s">
        <v>39</v>
      </c>
      <c r="C51" s="30"/>
      <c r="D51" s="224">
        <f t="shared" si="0"/>
        <v>0</v>
      </c>
      <c r="E51" s="224"/>
    </row>
    <row r="52" spans="2:5" s="21" customFormat="1" ht="12.75">
      <c r="B52" s="29" t="s">
        <v>40</v>
      </c>
      <c r="C52" s="30"/>
      <c r="D52" s="224">
        <f t="shared" si="0"/>
        <v>0</v>
      </c>
      <c r="E52" s="224"/>
    </row>
    <row r="53" spans="2:5" s="21" customFormat="1" ht="12.75">
      <c r="B53" s="31" t="s">
        <v>41</v>
      </c>
      <c r="C53" s="32">
        <v>8</v>
      </c>
      <c r="D53" s="212">
        <f t="shared" si="0"/>
        <v>84.504000000000005</v>
      </c>
      <c r="E53" s="212"/>
    </row>
    <row r="54" spans="2:5" s="21" customFormat="1" ht="12.75">
      <c r="B54" s="31" t="s">
        <v>42</v>
      </c>
      <c r="C54" s="32">
        <v>3</v>
      </c>
      <c r="D54" s="212">
        <f t="shared" si="0"/>
        <v>31.688999999999997</v>
      </c>
      <c r="E54" s="212"/>
    </row>
    <row r="55" spans="2:5" s="21" customFormat="1" ht="12.75">
      <c r="B55" s="29" t="s">
        <v>43</v>
      </c>
      <c r="C55" s="30"/>
      <c r="D55" s="224">
        <f t="shared" si="0"/>
        <v>0</v>
      </c>
      <c r="E55" s="224"/>
    </row>
    <row r="56" spans="2:5" s="21" customFormat="1" ht="13.5" thickBot="1">
      <c r="B56" s="33" t="s">
        <v>44</v>
      </c>
      <c r="C56" s="34">
        <f>SUM(C48:C55)</f>
        <v>31</v>
      </c>
      <c r="D56" s="208">
        <f>SUM(D48:E55)</f>
        <v>327.45300000000003</v>
      </c>
      <c r="E56" s="208"/>
    </row>
    <row r="57" spans="2:5" s="21" customFormat="1" ht="34.5" customHeight="1">
      <c r="B57" s="211" t="s">
        <v>176</v>
      </c>
      <c r="C57" s="211"/>
      <c r="D57" s="211"/>
      <c r="E57" s="211"/>
    </row>
    <row r="58" spans="2:5" s="21" customFormat="1" ht="13.5" thickBot="1">
      <c r="B58" s="36"/>
      <c r="C58" s="35"/>
      <c r="D58" s="35"/>
      <c r="E58" s="35"/>
    </row>
    <row r="59" spans="2:5" s="21" customFormat="1" ht="13.5" thickBot="1">
      <c r="B59" s="222" t="s">
        <v>45</v>
      </c>
      <c r="C59" s="222"/>
      <c r="D59" s="222"/>
      <c r="E59" s="222"/>
    </row>
    <row r="60" spans="2:5" s="21" customFormat="1" ht="13.5" thickBot="1">
      <c r="B60" s="25" t="s">
        <v>46</v>
      </c>
      <c r="C60" s="221" t="s">
        <v>9</v>
      </c>
      <c r="D60" s="221"/>
      <c r="E60" s="221"/>
    </row>
    <row r="61" spans="2:5" s="21" customFormat="1" ht="12.75">
      <c r="B61" s="27" t="s">
        <v>47</v>
      </c>
      <c r="C61" s="216">
        <f>$C$23*0.0893</f>
        <v>94.327590000000001</v>
      </c>
      <c r="D61" s="216"/>
      <c r="E61" s="216"/>
    </row>
    <row r="62" spans="2:5" s="21" customFormat="1" ht="12.75">
      <c r="B62" s="31" t="s">
        <v>48</v>
      </c>
      <c r="C62" s="212">
        <f>$C$23*0.0298</f>
        <v>31.477739999999997</v>
      </c>
      <c r="D62" s="212"/>
      <c r="E62" s="212"/>
    </row>
    <row r="63" spans="2:5" s="21" customFormat="1" ht="12.75">
      <c r="B63" s="37" t="s">
        <v>49</v>
      </c>
      <c r="C63" s="223">
        <f>SUM(C61:E62)</f>
        <v>125.80533</v>
      </c>
      <c r="D63" s="223"/>
      <c r="E63" s="223"/>
    </row>
    <row r="64" spans="2:5" s="21" customFormat="1" ht="12.75">
      <c r="B64" s="31" t="s">
        <v>50</v>
      </c>
      <c r="C64" s="212">
        <f>C63*(C56/100)</f>
        <v>38.999652300000001</v>
      </c>
      <c r="D64" s="212"/>
      <c r="E64" s="212"/>
    </row>
    <row r="65" spans="2:5" s="21" customFormat="1" ht="13.5" thickBot="1">
      <c r="B65" s="33" t="s">
        <v>44</v>
      </c>
      <c r="C65" s="208">
        <f>SUM(C63:E64)</f>
        <v>164.80498230000001</v>
      </c>
      <c r="D65" s="208"/>
      <c r="E65" s="208"/>
    </row>
    <row r="66" spans="2:5" s="21" customFormat="1" ht="13.5" thickBot="1">
      <c r="B66" s="36"/>
      <c r="C66" s="35"/>
      <c r="D66" s="35"/>
      <c r="E66" s="35"/>
    </row>
    <row r="67" spans="2:5" s="21" customFormat="1" ht="13.5" thickBot="1">
      <c r="B67" s="222" t="s">
        <v>51</v>
      </c>
      <c r="C67" s="222"/>
      <c r="D67" s="222"/>
      <c r="E67" s="222"/>
    </row>
    <row r="68" spans="2:5" s="21" customFormat="1" ht="13.5" thickBot="1">
      <c r="B68" s="25" t="s">
        <v>52</v>
      </c>
      <c r="C68" s="221" t="s">
        <v>9</v>
      </c>
      <c r="D68" s="221"/>
      <c r="E68" s="221"/>
    </row>
    <row r="69" spans="2:5" s="21" customFormat="1" ht="12.75">
      <c r="B69" s="27" t="s">
        <v>53</v>
      </c>
      <c r="C69" s="216">
        <f>((C61/12)+(C62/12)+D48+D53+C32)*4*0.05*0.06</f>
        <v>3.6749733299999998</v>
      </c>
      <c r="D69" s="216"/>
      <c r="E69" s="216"/>
    </row>
    <row r="70" spans="2:5" s="21" customFormat="1" ht="12.75">
      <c r="B70" s="31" t="s">
        <v>54</v>
      </c>
      <c r="C70" s="212">
        <f>C69*(C56/100)</f>
        <v>1.1392417322999999</v>
      </c>
      <c r="D70" s="212"/>
      <c r="E70" s="212"/>
    </row>
    <row r="71" spans="2:5" s="21" customFormat="1" ht="13.5" thickBot="1">
      <c r="B71" s="33" t="s">
        <v>44</v>
      </c>
      <c r="C71" s="208">
        <f>SUM(C69:E70)</f>
        <v>4.8142150622999997</v>
      </c>
      <c r="D71" s="208"/>
      <c r="E71" s="208"/>
    </row>
    <row r="72" spans="2:5" s="21" customFormat="1" ht="13.5" thickBot="1">
      <c r="B72" s="36"/>
      <c r="C72" s="35"/>
      <c r="D72" s="35"/>
      <c r="E72" s="35"/>
    </row>
    <row r="73" spans="2:5" s="21" customFormat="1" ht="13.5" thickBot="1">
      <c r="B73" s="222" t="s">
        <v>55</v>
      </c>
      <c r="C73" s="222"/>
      <c r="D73" s="222"/>
      <c r="E73" s="222"/>
    </row>
    <row r="74" spans="2:5" s="21" customFormat="1" ht="13.5" thickBot="1">
      <c r="B74" s="25" t="s">
        <v>56</v>
      </c>
      <c r="C74" s="221" t="s">
        <v>9</v>
      </c>
      <c r="D74" s="221"/>
      <c r="E74" s="221"/>
    </row>
    <row r="75" spans="2:5" s="21" customFormat="1" ht="12.75">
      <c r="B75" s="27" t="s">
        <v>57</v>
      </c>
      <c r="C75" s="216">
        <f>C23*0.00417</f>
        <v>4.4047710000000002</v>
      </c>
      <c r="D75" s="216"/>
      <c r="E75" s="216"/>
    </row>
    <row r="76" spans="2:5" s="21" customFormat="1" ht="12.75">
      <c r="B76" s="31" t="s">
        <v>58</v>
      </c>
      <c r="C76" s="212">
        <f>C75*(C56/100)</f>
        <v>1.36547901</v>
      </c>
      <c r="D76" s="212"/>
      <c r="E76" s="212"/>
    </row>
    <row r="77" spans="2:5" s="21" customFormat="1" ht="12.75">
      <c r="B77" s="31" t="s">
        <v>59</v>
      </c>
      <c r="C77" s="212">
        <f>$C$23*(0.08*0.5*0.05)</f>
        <v>2.1126</v>
      </c>
      <c r="D77" s="212"/>
      <c r="E77" s="212"/>
    </row>
    <row r="78" spans="2:5" s="21" customFormat="1" ht="12.75">
      <c r="B78" s="31" t="s">
        <v>60</v>
      </c>
      <c r="C78" s="212">
        <f>C23*0.01944</f>
        <v>20.534472000000001</v>
      </c>
      <c r="D78" s="212"/>
      <c r="E78" s="212"/>
    </row>
    <row r="79" spans="2:5" s="21" customFormat="1" ht="12.75">
      <c r="B79" s="31" t="s">
        <v>61</v>
      </c>
      <c r="C79" s="212">
        <f>C78*(C56/100)</f>
        <v>6.36568632</v>
      </c>
      <c r="D79" s="212"/>
      <c r="E79" s="212"/>
    </row>
    <row r="80" spans="2:5" s="21" customFormat="1" ht="12.75">
      <c r="B80" s="31" t="s">
        <v>62</v>
      </c>
      <c r="C80" s="212">
        <f>$C$23*(0.08*0.5)</f>
        <v>42.252000000000002</v>
      </c>
      <c r="D80" s="212"/>
      <c r="E80" s="212"/>
    </row>
    <row r="81" spans="1:9" s="21" customFormat="1" ht="13.5" thickBot="1">
      <c r="B81" s="33" t="s">
        <v>44</v>
      </c>
      <c r="C81" s="208">
        <f>SUM(C75:E80)</f>
        <v>77.035008330000011</v>
      </c>
      <c r="D81" s="208"/>
      <c r="E81" s="208"/>
    </row>
    <row r="82" spans="1:9" s="21" customFormat="1" ht="13.5" thickBot="1">
      <c r="B82" s="36"/>
      <c r="C82" s="35"/>
      <c r="D82" s="35"/>
      <c r="E82" s="35"/>
    </row>
    <row r="83" spans="1:9" s="21" customFormat="1" ht="13.5" thickBot="1">
      <c r="B83" s="222" t="s">
        <v>63</v>
      </c>
      <c r="C83" s="222"/>
      <c r="D83" s="222"/>
      <c r="E83" s="222"/>
    </row>
    <row r="84" spans="1:9" s="21" customFormat="1" ht="13.5" thickBot="1">
      <c r="B84" s="25" t="s">
        <v>64</v>
      </c>
      <c r="C84" s="220" t="s">
        <v>9</v>
      </c>
      <c r="D84" s="220"/>
      <c r="E84" s="220"/>
    </row>
    <row r="85" spans="1:9" s="38" customFormat="1" ht="12.75">
      <c r="B85" s="39" t="s">
        <v>65</v>
      </c>
      <c r="C85" s="216">
        <f>C23*0.0893</f>
        <v>94.327590000000001</v>
      </c>
      <c r="D85" s="216"/>
      <c r="E85" s="216"/>
      <c r="H85" s="21"/>
    </row>
    <row r="86" spans="1:9" s="21" customFormat="1" ht="15">
      <c r="B86" s="31" t="s">
        <v>66</v>
      </c>
      <c r="C86" s="212">
        <f>C23*0.0166</f>
        <v>17.534579999999998</v>
      </c>
      <c r="D86" s="212"/>
      <c r="E86" s="212"/>
      <c r="I86" s="150" t="s">
        <v>175</v>
      </c>
    </row>
    <row r="87" spans="1:9" s="21" customFormat="1" ht="12.75">
      <c r="B87" s="31" t="s">
        <v>67</v>
      </c>
      <c r="C87" s="212">
        <f>C23*0.0002</f>
        <v>0.21126</v>
      </c>
      <c r="D87" s="212"/>
      <c r="E87" s="212"/>
    </row>
    <row r="88" spans="1:9" s="21" customFormat="1" ht="12.75">
      <c r="B88" s="31" t="s">
        <v>68</v>
      </c>
      <c r="C88" s="212">
        <f>C23*0.0073</f>
        <v>7.7109899999999998</v>
      </c>
      <c r="D88" s="212"/>
      <c r="E88" s="212"/>
    </row>
    <row r="89" spans="1:9" s="21" customFormat="1" ht="12.75">
      <c r="B89" s="31" t="s">
        <v>69</v>
      </c>
      <c r="C89" s="212">
        <f>C23*0.0003</f>
        <v>0.31689000000000001</v>
      </c>
      <c r="D89" s="212"/>
      <c r="E89" s="212"/>
    </row>
    <row r="90" spans="1:9" s="21" customFormat="1" ht="12.75">
      <c r="B90" s="40" t="s">
        <v>70</v>
      </c>
      <c r="C90" s="212">
        <v>0</v>
      </c>
      <c r="D90" s="212"/>
      <c r="E90" s="212"/>
      <c r="H90" s="38"/>
    </row>
    <row r="91" spans="1:9" s="21" customFormat="1" ht="12.75">
      <c r="A91" s="41"/>
      <c r="B91" s="31" t="s">
        <v>71</v>
      </c>
      <c r="C91" s="212">
        <f>SUM(C85:E90)*(C56/100)</f>
        <v>37.231406099999994</v>
      </c>
      <c r="D91" s="212"/>
      <c r="E91" s="212"/>
      <c r="H91" s="38"/>
    </row>
    <row r="92" spans="1:9" s="21" customFormat="1" ht="13.5" thickBot="1">
      <c r="A92" s="41"/>
      <c r="B92" s="33" t="s">
        <v>44</v>
      </c>
      <c r="C92" s="208">
        <f>SUM(C85:E91)</f>
        <v>157.33271609999997</v>
      </c>
      <c r="D92" s="208"/>
      <c r="E92" s="208"/>
      <c r="H92" s="38"/>
    </row>
    <row r="93" spans="1:9" s="38" customFormat="1" ht="16.5" thickBot="1">
      <c r="B93" s="42"/>
    </row>
    <row r="94" spans="1:9" s="38" customFormat="1" ht="13.5" thickBot="1">
      <c r="B94" s="219" t="s">
        <v>72</v>
      </c>
      <c r="C94" s="219"/>
      <c r="D94" s="219"/>
      <c r="E94" s="219"/>
    </row>
    <row r="95" spans="1:9" s="38" customFormat="1" ht="13.5" thickBot="1">
      <c r="B95" s="43" t="s">
        <v>73</v>
      </c>
      <c r="C95" s="215" t="s">
        <v>9</v>
      </c>
      <c r="D95" s="215"/>
      <c r="E95" s="215"/>
    </row>
    <row r="96" spans="1:9" s="38" customFormat="1" ht="12.75">
      <c r="B96" s="39" t="s">
        <v>74</v>
      </c>
      <c r="C96" s="216">
        <f>D56</f>
        <v>327.45300000000003</v>
      </c>
      <c r="D96" s="216"/>
      <c r="E96" s="216"/>
    </row>
    <row r="97" spans="2:5" s="38" customFormat="1" ht="12.75">
      <c r="B97" s="44" t="s">
        <v>75</v>
      </c>
      <c r="C97" s="212">
        <f>C65</f>
        <v>164.80498230000001</v>
      </c>
      <c r="D97" s="212"/>
      <c r="E97" s="212"/>
    </row>
    <row r="98" spans="2:5" s="38" customFormat="1" ht="12.75">
      <c r="B98" s="44" t="s">
        <v>76</v>
      </c>
      <c r="C98" s="212">
        <f>C71</f>
        <v>4.8142150622999997</v>
      </c>
      <c r="D98" s="212"/>
      <c r="E98" s="212"/>
    </row>
    <row r="99" spans="2:5" s="38" customFormat="1" ht="12.75">
      <c r="B99" s="44" t="s">
        <v>77</v>
      </c>
      <c r="C99" s="212">
        <f>C81</f>
        <v>77.035008330000011</v>
      </c>
      <c r="D99" s="212"/>
      <c r="E99" s="212"/>
    </row>
    <row r="100" spans="2:5" s="38" customFormat="1" ht="12.75">
      <c r="B100" s="44" t="s">
        <v>78</v>
      </c>
      <c r="C100" s="212">
        <f>C92</f>
        <v>157.33271609999997</v>
      </c>
      <c r="D100" s="212"/>
      <c r="E100" s="212"/>
    </row>
    <row r="101" spans="2:5" s="38" customFormat="1" ht="12.75">
      <c r="B101" s="44" t="s">
        <v>79</v>
      </c>
      <c r="C101" s="212"/>
      <c r="D101" s="212"/>
      <c r="E101" s="212"/>
    </row>
    <row r="102" spans="2:5" s="38" customFormat="1" ht="13.5" thickBot="1">
      <c r="B102" s="45" t="s">
        <v>44</v>
      </c>
      <c r="C102" s="208">
        <f>SUM(C96:E101)</f>
        <v>731.43992179229997</v>
      </c>
      <c r="D102" s="208"/>
      <c r="E102" s="208"/>
    </row>
    <row r="103" spans="2:5" s="38" customFormat="1" ht="16.5" thickBot="1">
      <c r="B103" s="42"/>
    </row>
    <row r="104" spans="2:5" s="38" customFormat="1" ht="13.5" thickBot="1">
      <c r="B104" s="218" t="s">
        <v>80</v>
      </c>
      <c r="C104" s="218"/>
      <c r="D104" s="218"/>
      <c r="E104" s="218"/>
    </row>
    <row r="105" spans="2:5" s="38" customFormat="1" ht="13.5" thickBot="1">
      <c r="B105" s="43" t="s">
        <v>81</v>
      </c>
      <c r="C105" s="46" t="s">
        <v>35</v>
      </c>
      <c r="D105" s="215" t="s">
        <v>9</v>
      </c>
      <c r="E105" s="215"/>
    </row>
    <row r="106" spans="2:5" s="38" customFormat="1" ht="12.75">
      <c r="B106" s="39" t="s">
        <v>82</v>
      </c>
      <c r="C106" s="47">
        <v>2</v>
      </c>
      <c r="D106" s="216">
        <f>(C102+C43+C34+C23)*C106/100</f>
        <v>43.588798435846002</v>
      </c>
      <c r="E106" s="216"/>
    </row>
    <row r="107" spans="2:5" s="38" customFormat="1" ht="12.75">
      <c r="B107" s="44" t="s">
        <v>83</v>
      </c>
      <c r="C107" s="48"/>
      <c r="D107" s="212"/>
      <c r="E107" s="212"/>
    </row>
    <row r="108" spans="2:5" s="38" customFormat="1" ht="12.75">
      <c r="B108" s="44" t="s">
        <v>214</v>
      </c>
      <c r="C108" s="48">
        <v>9.94</v>
      </c>
      <c r="D108" s="212">
        <f>((C102+C43+C34+C23+D106+D112)/(1-(C108+C110)/100))*(C108/100)</f>
        <v>264.97582399070217</v>
      </c>
      <c r="E108" s="212"/>
    </row>
    <row r="109" spans="2:5" s="38" customFormat="1" ht="12.75">
      <c r="B109" s="44" t="s">
        <v>84</v>
      </c>
      <c r="C109" s="48"/>
      <c r="D109" s="212"/>
      <c r="E109" s="212"/>
    </row>
    <row r="110" spans="2:5" s="38" customFormat="1" ht="12.75">
      <c r="B110" s="44" t="s">
        <v>213</v>
      </c>
      <c r="C110" s="48">
        <v>5</v>
      </c>
      <c r="D110" s="212">
        <f>((C102+C43+C34+C23+D106+D112)/(1-(C108+C110)/100))*(C110/100)</f>
        <v>133.28763782228481</v>
      </c>
      <c r="E110" s="212"/>
    </row>
    <row r="111" spans="2:5" s="38" customFormat="1" ht="12.75">
      <c r="B111" s="44" t="s">
        <v>85</v>
      </c>
      <c r="C111" s="48"/>
      <c r="D111" s="212"/>
      <c r="E111" s="212"/>
    </row>
    <row r="112" spans="2:5" s="38" customFormat="1" ht="12.75">
      <c r="B112" s="44" t="s">
        <v>86</v>
      </c>
      <c r="C112" s="48">
        <v>2</v>
      </c>
      <c r="D112" s="212">
        <f>(C102+C43+C34+C23+D106)*C112/100</f>
        <v>44.460574404562919</v>
      </c>
      <c r="E112" s="212"/>
    </row>
    <row r="113" spans="2:17" s="38" customFormat="1" ht="13.5" thickBot="1">
      <c r="B113" s="45" t="s">
        <v>44</v>
      </c>
      <c r="C113" s="49">
        <f>SUM(C106:C112)</f>
        <v>18.939999999999998</v>
      </c>
      <c r="D113" s="208">
        <f>SUM(D106:E112)</f>
        <v>486.3128346533959</v>
      </c>
      <c r="E113" s="208"/>
    </row>
    <row r="114" spans="2:17" s="38" customFormat="1" ht="31.5" customHeight="1">
      <c r="B114" s="211" t="s">
        <v>174</v>
      </c>
      <c r="C114" s="211"/>
      <c r="D114" s="211"/>
      <c r="E114" s="211"/>
    </row>
    <row r="115" spans="2:17" s="38" customFormat="1" ht="12.75">
      <c r="B115" s="209" t="s">
        <v>87</v>
      </c>
      <c r="C115" s="209"/>
      <c r="D115" s="209"/>
      <c r="E115" s="209"/>
    </row>
    <row r="116" spans="2:17" s="38" customFormat="1" ht="12.75">
      <c r="B116" s="210" t="s">
        <v>88</v>
      </c>
      <c r="C116" s="210"/>
      <c r="D116" s="210"/>
      <c r="E116" s="210"/>
    </row>
    <row r="117" spans="2:17" s="38" customFormat="1" ht="16.5" thickBot="1">
      <c r="B117" s="42"/>
    </row>
    <row r="118" spans="2:17" s="38" customFormat="1" ht="13.5" thickBot="1">
      <c r="B118" s="43" t="s">
        <v>89</v>
      </c>
      <c r="C118" s="215" t="s">
        <v>9</v>
      </c>
      <c r="D118" s="215"/>
      <c r="E118" s="215"/>
    </row>
    <row r="119" spans="2:17" s="38" customFormat="1" ht="12.75">
      <c r="B119" s="39" t="s">
        <v>90</v>
      </c>
      <c r="C119" s="216">
        <f>C23</f>
        <v>1056.3</v>
      </c>
      <c r="D119" s="216"/>
      <c r="E119" s="216"/>
    </row>
    <row r="120" spans="2:17" s="38" customFormat="1" ht="12.75">
      <c r="B120" s="44" t="s">
        <v>91</v>
      </c>
      <c r="C120" s="212">
        <f>C34</f>
        <v>391.7</v>
      </c>
      <c r="D120" s="212"/>
      <c r="E120" s="212"/>
    </row>
    <row r="121" spans="2:17" s="38" customFormat="1" ht="12.75">
      <c r="B121" s="44" t="s">
        <v>92</v>
      </c>
      <c r="C121" s="212">
        <f>C43</f>
        <v>0</v>
      </c>
      <c r="D121" s="212"/>
      <c r="E121" s="212"/>
    </row>
    <row r="122" spans="2:17" s="38" customFormat="1" ht="12.75">
      <c r="B122" s="44" t="s">
        <v>93</v>
      </c>
      <c r="C122" s="212">
        <f>C102</f>
        <v>731.43992179229997</v>
      </c>
      <c r="D122" s="212"/>
      <c r="E122" s="212"/>
    </row>
    <row r="123" spans="2:17" s="38" customFormat="1" ht="12.75">
      <c r="B123" s="50" t="s">
        <v>94</v>
      </c>
      <c r="C123" s="217">
        <f>SUM(C119:E122)</f>
        <v>2179.4399217923001</v>
      </c>
      <c r="D123" s="217"/>
      <c r="E123" s="217"/>
    </row>
    <row r="124" spans="2:17" s="38" customFormat="1" ht="12.75">
      <c r="B124" s="44" t="s">
        <v>95</v>
      </c>
      <c r="C124" s="212">
        <f>D113</f>
        <v>486.3128346533959</v>
      </c>
      <c r="D124" s="212"/>
      <c r="E124" s="212"/>
    </row>
    <row r="125" spans="2:17" s="38" customFormat="1" ht="13.5" thickBot="1">
      <c r="B125" s="45" t="s">
        <v>96</v>
      </c>
      <c r="C125" s="213">
        <f>SUM(C123:E124)</f>
        <v>2665.7527564456959</v>
      </c>
      <c r="D125" s="213"/>
      <c r="E125" s="213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2:17" s="38" customFormat="1" ht="13.5" thickBot="1">
      <c r="B126" s="51" t="s">
        <v>97</v>
      </c>
      <c r="C126" s="214">
        <f>C125/C23</f>
        <v>2.5236701282265419</v>
      </c>
      <c r="D126" s="214"/>
      <c r="E126" s="214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2:17" s="38" customFormat="1" ht="15.75">
      <c r="B127" s="42"/>
      <c r="H127" s="1"/>
      <c r="I127" s="1"/>
      <c r="J127" s="1"/>
      <c r="K127" s="1"/>
      <c r="L127" s="1"/>
      <c r="M127" s="1"/>
      <c r="N127" s="1"/>
      <c r="O127" s="1"/>
      <c r="P127" s="1"/>
      <c r="Q127" s="1"/>
    </row>
  </sheetData>
  <sheetProtection selectLockedCells="1" selectUnlockedCells="1"/>
  <mergeCells count="115">
    <mergeCell ref="B1:E1"/>
    <mergeCell ref="C3:E3"/>
    <mergeCell ref="C4:E4"/>
    <mergeCell ref="C6:E6"/>
    <mergeCell ref="C7:E7"/>
    <mergeCell ref="C8:E8"/>
    <mergeCell ref="C9:E9"/>
    <mergeCell ref="C10:E10"/>
    <mergeCell ref="B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B24:E24"/>
    <mergeCell ref="B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B35:E35"/>
    <mergeCell ref="B36:E36"/>
    <mergeCell ref="C37:E37"/>
    <mergeCell ref="C38:E38"/>
    <mergeCell ref="C39:E39"/>
    <mergeCell ref="C40:E40"/>
    <mergeCell ref="C41:E41"/>
    <mergeCell ref="C42:E42"/>
    <mergeCell ref="C43:E43"/>
    <mergeCell ref="B44:E44"/>
    <mergeCell ref="B45:E45"/>
    <mergeCell ref="B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B57:E57"/>
    <mergeCell ref="B59:E59"/>
    <mergeCell ref="C60:E60"/>
    <mergeCell ref="C61:E61"/>
    <mergeCell ref="C62:E62"/>
    <mergeCell ref="C63:E63"/>
    <mergeCell ref="C64:E64"/>
    <mergeCell ref="C65:E65"/>
    <mergeCell ref="B67:E67"/>
    <mergeCell ref="C68:E68"/>
    <mergeCell ref="C69:E69"/>
    <mergeCell ref="C70:E70"/>
    <mergeCell ref="C71:E71"/>
    <mergeCell ref="B73:E73"/>
    <mergeCell ref="C74:E74"/>
    <mergeCell ref="C75:E75"/>
    <mergeCell ref="C76:E76"/>
    <mergeCell ref="C77:E77"/>
    <mergeCell ref="C78:E78"/>
    <mergeCell ref="C79:E79"/>
    <mergeCell ref="C80:E80"/>
    <mergeCell ref="C81:E81"/>
    <mergeCell ref="B83:E83"/>
    <mergeCell ref="C84:E84"/>
    <mergeCell ref="C85:E85"/>
    <mergeCell ref="C86:E86"/>
    <mergeCell ref="C87:E87"/>
    <mergeCell ref="C88:E88"/>
    <mergeCell ref="C89:E89"/>
    <mergeCell ref="C90:E90"/>
    <mergeCell ref="C91:E91"/>
    <mergeCell ref="C92:E92"/>
    <mergeCell ref="B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B104:E104"/>
    <mergeCell ref="D105:E105"/>
    <mergeCell ref="D106:E106"/>
    <mergeCell ref="D107:E107"/>
    <mergeCell ref="D108:E108"/>
    <mergeCell ref="D109:E109"/>
    <mergeCell ref="C126:E126"/>
    <mergeCell ref="C120:E120"/>
    <mergeCell ref="C121:E121"/>
    <mergeCell ref="C122:E122"/>
    <mergeCell ref="C123:E123"/>
    <mergeCell ref="C124:E124"/>
    <mergeCell ref="C125:E125"/>
    <mergeCell ref="D110:E110"/>
    <mergeCell ref="D111:E111"/>
    <mergeCell ref="D112:E112"/>
    <mergeCell ref="D113:E113"/>
    <mergeCell ref="B114:E114"/>
    <mergeCell ref="B115:E115"/>
    <mergeCell ref="B116:E116"/>
    <mergeCell ref="C118:E118"/>
    <mergeCell ref="C119:E119"/>
  </mergeCells>
  <pageMargins left="0.78749999999999998" right="0.78749999999999998" top="1.0527777777777778" bottom="1.0527777777777778" header="0.78749999999999998" footer="0.78749999999999998"/>
  <pageSetup paperSize="9" scale="81" firstPageNumber="0" fitToHeight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7"/>
  <sheetViews>
    <sheetView zoomScaleNormal="100" zoomScaleSheetLayoutView="100" workbookViewId="0"/>
  </sheetViews>
  <sheetFormatPr defaultColWidth="11.42578125" defaultRowHeight="11.25"/>
  <cols>
    <col min="1" max="1" width="3.42578125" style="1" customWidth="1"/>
    <col min="2" max="2" width="65.42578125" style="1" bestFit="1" customWidth="1"/>
    <col min="3" max="3" width="6.140625" style="1" bestFit="1" customWidth="1"/>
    <col min="4" max="5" width="15.7109375" style="1" customWidth="1"/>
    <col min="6" max="16384" width="11.42578125" style="1"/>
  </cols>
  <sheetData>
    <row r="1" spans="2:5" ht="45" customHeight="1">
      <c r="B1" s="237" t="s">
        <v>177</v>
      </c>
      <c r="C1" s="237"/>
      <c r="D1" s="237"/>
      <c r="E1" s="237"/>
    </row>
    <row r="2" spans="2:5" ht="13.5" thickBot="1">
      <c r="B2" s="207"/>
      <c r="C2" s="3"/>
      <c r="D2" s="3"/>
      <c r="E2" s="3"/>
    </row>
    <row r="3" spans="2:5" ht="13.5" thickBot="1">
      <c r="B3" s="4" t="s">
        <v>0</v>
      </c>
      <c r="C3" s="238"/>
      <c r="D3" s="239"/>
      <c r="E3" s="239"/>
    </row>
    <row r="4" spans="2:5" ht="13.5" thickBot="1">
      <c r="B4" s="5" t="s">
        <v>1</v>
      </c>
      <c r="C4" s="239"/>
      <c r="D4" s="239"/>
      <c r="E4" s="239"/>
    </row>
    <row r="5" spans="2:5" ht="13.5" thickBot="1">
      <c r="B5" s="207"/>
      <c r="C5" s="3"/>
      <c r="D5" s="3"/>
      <c r="E5" s="3"/>
    </row>
    <row r="6" spans="2:5" ht="12.75">
      <c r="B6" s="6" t="s">
        <v>2</v>
      </c>
      <c r="C6" s="240" t="s">
        <v>178</v>
      </c>
      <c r="D6" s="240"/>
      <c r="E6" s="240"/>
    </row>
    <row r="7" spans="2:5" ht="12.75">
      <c r="B7" s="7" t="s">
        <v>3</v>
      </c>
      <c r="C7" s="241">
        <v>22</v>
      </c>
      <c r="D7" s="241"/>
      <c r="E7" s="241"/>
    </row>
    <row r="8" spans="2:5" ht="12.75">
      <c r="B8" s="8" t="s">
        <v>4</v>
      </c>
      <c r="C8" s="242">
        <v>957</v>
      </c>
      <c r="D8" s="242"/>
      <c r="E8" s="242"/>
    </row>
    <row r="9" spans="2:5" ht="12.75">
      <c r="B9" s="8" t="s">
        <v>5</v>
      </c>
      <c r="C9" s="243" t="s">
        <v>211</v>
      </c>
      <c r="D9" s="243"/>
      <c r="E9" s="243"/>
    </row>
    <row r="10" spans="2:5" ht="13.5" thickBot="1">
      <c r="B10" s="9" t="s">
        <v>6</v>
      </c>
      <c r="C10" s="244">
        <v>42736</v>
      </c>
      <c r="D10" s="244"/>
      <c r="E10" s="244"/>
    </row>
    <row r="11" spans="2:5" ht="12.75">
      <c r="B11" s="10"/>
      <c r="C11" s="11"/>
      <c r="D11" s="12"/>
      <c r="E11" s="12"/>
    </row>
    <row r="12" spans="2:5" ht="12" thickBot="1">
      <c r="C12" s="13"/>
      <c r="D12" s="13"/>
      <c r="E12" s="13"/>
    </row>
    <row r="13" spans="2:5" ht="12.75">
      <c r="B13" s="245" t="s">
        <v>7</v>
      </c>
      <c r="C13" s="245"/>
      <c r="D13" s="245"/>
      <c r="E13" s="245"/>
    </row>
    <row r="14" spans="2:5" ht="12.75">
      <c r="B14" s="14" t="s">
        <v>8</v>
      </c>
      <c r="C14" s="235" t="s">
        <v>9</v>
      </c>
      <c r="D14" s="235"/>
      <c r="E14" s="235"/>
    </row>
    <row r="15" spans="2:5" ht="12.75">
      <c r="B15" s="15" t="s">
        <v>10</v>
      </c>
      <c r="C15" s="228">
        <v>957</v>
      </c>
      <c r="D15" s="228"/>
      <c r="E15" s="228"/>
    </row>
    <row r="16" spans="2:5" ht="12.75">
      <c r="B16" s="15" t="s">
        <v>11</v>
      </c>
      <c r="C16" s="228"/>
      <c r="D16" s="228"/>
      <c r="E16" s="228"/>
    </row>
    <row r="17" spans="2:5" ht="12.75">
      <c r="B17" s="15" t="s">
        <v>12</v>
      </c>
      <c r="C17" s="228"/>
      <c r="D17" s="228"/>
      <c r="E17" s="228"/>
    </row>
    <row r="18" spans="2:5" ht="12.75">
      <c r="B18" s="16" t="s">
        <v>13</v>
      </c>
      <c r="C18" s="236">
        <f>C15*30%</f>
        <v>287.09999999999997</v>
      </c>
      <c r="D18" s="236"/>
      <c r="E18" s="236"/>
    </row>
    <row r="19" spans="2:5" ht="12.75">
      <c r="B19" s="16" t="s">
        <v>14</v>
      </c>
      <c r="C19" s="236"/>
      <c r="D19" s="236"/>
      <c r="E19" s="236"/>
    </row>
    <row r="20" spans="2:5" ht="12.75">
      <c r="B20" s="16" t="s">
        <v>15</v>
      </c>
      <c r="C20" s="236"/>
      <c r="D20" s="236"/>
      <c r="E20" s="236"/>
    </row>
    <row r="21" spans="2:5" ht="12.75">
      <c r="B21" s="16" t="s">
        <v>16</v>
      </c>
      <c r="C21" s="228"/>
      <c r="D21" s="228"/>
      <c r="E21" s="228"/>
    </row>
    <row r="22" spans="2:5" ht="12.75">
      <c r="B22" s="16" t="s">
        <v>217</v>
      </c>
      <c r="C22" s="228">
        <v>49.62</v>
      </c>
      <c r="D22" s="228"/>
      <c r="E22" s="228"/>
    </row>
    <row r="23" spans="2:5" ht="13.5" thickBot="1">
      <c r="B23" s="17" t="s">
        <v>17</v>
      </c>
      <c r="C23" s="213">
        <f>SUM(C15:E22)</f>
        <v>1293.7199999999998</v>
      </c>
      <c r="D23" s="213"/>
      <c r="E23" s="213"/>
    </row>
    <row r="24" spans="2:5" ht="12" thickBot="1">
      <c r="B24" s="232"/>
      <c r="C24" s="232"/>
      <c r="D24" s="232"/>
      <c r="E24" s="232"/>
    </row>
    <row r="25" spans="2:5" ht="13.5" thickBot="1">
      <c r="B25" s="227" t="s">
        <v>18</v>
      </c>
      <c r="C25" s="227"/>
      <c r="D25" s="227"/>
      <c r="E25" s="227"/>
    </row>
    <row r="26" spans="2:5" ht="13.5" thickBot="1">
      <c r="B26" s="18" t="s">
        <v>19</v>
      </c>
      <c r="C26" s="233" t="s">
        <v>9</v>
      </c>
      <c r="D26" s="233"/>
      <c r="E26" s="233"/>
    </row>
    <row r="27" spans="2:5" ht="12.75">
      <c r="B27" s="19" t="s">
        <v>20</v>
      </c>
      <c r="C27" s="234">
        <v>180</v>
      </c>
      <c r="D27" s="234"/>
      <c r="E27" s="234"/>
    </row>
    <row r="28" spans="2:5" ht="12.75">
      <c r="B28" s="15" t="s">
        <v>21</v>
      </c>
      <c r="C28" s="228">
        <v>198</v>
      </c>
      <c r="D28" s="228"/>
      <c r="E28" s="228"/>
    </row>
    <row r="29" spans="2:5" ht="12.75">
      <c r="B29" s="15" t="s">
        <v>215</v>
      </c>
      <c r="C29" s="228">
        <v>4</v>
      </c>
      <c r="D29" s="228"/>
      <c r="E29" s="228"/>
    </row>
    <row r="30" spans="2:5" ht="12.75">
      <c r="B30" s="15" t="s">
        <v>22</v>
      </c>
      <c r="C30" s="228"/>
      <c r="D30" s="228"/>
      <c r="E30" s="228"/>
    </row>
    <row r="31" spans="2:5" ht="12.75">
      <c r="B31" s="15" t="s">
        <v>23</v>
      </c>
      <c r="C31" s="228">
        <v>9.6999999999999993</v>
      </c>
      <c r="D31" s="228"/>
      <c r="E31" s="228"/>
    </row>
    <row r="32" spans="2:5" ht="12.75">
      <c r="B32" s="20" t="s">
        <v>24</v>
      </c>
      <c r="C32" s="228"/>
      <c r="D32" s="228"/>
      <c r="E32" s="228"/>
    </row>
    <row r="33" spans="2:5" ht="12.75">
      <c r="B33" s="15" t="s">
        <v>25</v>
      </c>
      <c r="C33" s="228"/>
      <c r="D33" s="228"/>
      <c r="E33" s="228"/>
    </row>
    <row r="34" spans="2:5" ht="13.5" thickBot="1">
      <c r="B34" s="17" t="s">
        <v>26</v>
      </c>
      <c r="C34" s="225">
        <f>SUM(C27:E33)</f>
        <v>391.7</v>
      </c>
      <c r="D34" s="225"/>
      <c r="E34" s="225"/>
    </row>
    <row r="35" spans="2:5" s="21" customFormat="1" ht="12" thickBot="1">
      <c r="B35" s="229"/>
      <c r="C35" s="229"/>
      <c r="D35" s="229"/>
      <c r="E35" s="229"/>
    </row>
    <row r="36" spans="2:5" s="21" customFormat="1" ht="13.5" thickBot="1">
      <c r="B36" s="227" t="s">
        <v>27</v>
      </c>
      <c r="C36" s="227"/>
      <c r="D36" s="227"/>
      <c r="E36" s="227"/>
    </row>
    <row r="37" spans="2:5" s="21" customFormat="1" ht="13.5" thickBot="1">
      <c r="B37" s="18" t="s">
        <v>28</v>
      </c>
      <c r="C37" s="230" t="s">
        <v>9</v>
      </c>
      <c r="D37" s="230"/>
      <c r="E37" s="230"/>
    </row>
    <row r="38" spans="2:5" s="21" customFormat="1" ht="12.75">
      <c r="B38" s="22" t="s">
        <v>30</v>
      </c>
      <c r="C38" s="231">
        <f>Equipamentos!J16</f>
        <v>0</v>
      </c>
      <c r="D38" s="231"/>
      <c r="E38" s="231"/>
    </row>
    <row r="39" spans="2:5" s="21" customFormat="1" ht="12.75">
      <c r="B39" s="23" t="s">
        <v>154</v>
      </c>
      <c r="C39" s="228">
        <f>'Materiais Consumo'!G51</f>
        <v>0</v>
      </c>
      <c r="D39" s="228"/>
      <c r="E39" s="228"/>
    </row>
    <row r="40" spans="2:5" s="21" customFormat="1" ht="12.75">
      <c r="B40" s="23" t="s">
        <v>155</v>
      </c>
      <c r="C40" s="228">
        <f>Utensílios!F30</f>
        <v>0</v>
      </c>
      <c r="D40" s="228"/>
      <c r="E40" s="228"/>
    </row>
    <row r="41" spans="2:5" s="21" customFormat="1" ht="12.75">
      <c r="B41" s="23" t="s">
        <v>150</v>
      </c>
      <c r="C41" s="228">
        <f>Uniforme!E25</f>
        <v>0</v>
      </c>
      <c r="D41" s="228"/>
      <c r="E41" s="228"/>
    </row>
    <row r="42" spans="2:5" s="21" customFormat="1" ht="12.75">
      <c r="B42" s="23" t="s">
        <v>29</v>
      </c>
      <c r="C42" s="228">
        <f>Uniforme!E10</f>
        <v>0</v>
      </c>
      <c r="D42" s="228"/>
      <c r="E42" s="228"/>
    </row>
    <row r="43" spans="2:5" s="21" customFormat="1" ht="13.5" thickBot="1">
      <c r="B43" s="24" t="s">
        <v>31</v>
      </c>
      <c r="C43" s="225">
        <f>SUM(C38:E42)</f>
        <v>0</v>
      </c>
      <c r="D43" s="225"/>
      <c r="E43" s="225"/>
    </row>
    <row r="44" spans="2:5" s="21" customFormat="1" ht="12" thickBot="1">
      <c r="B44" s="226"/>
      <c r="C44" s="226"/>
      <c r="D44" s="226"/>
      <c r="E44" s="226"/>
    </row>
    <row r="45" spans="2:5" s="21" customFormat="1" ht="13.5" thickBot="1">
      <c r="B45" s="227" t="s">
        <v>32</v>
      </c>
      <c r="C45" s="227"/>
      <c r="D45" s="227"/>
      <c r="E45" s="227"/>
    </row>
    <row r="46" spans="2:5" s="21" customFormat="1" ht="13.5" thickBot="1">
      <c r="B46" s="222" t="s">
        <v>33</v>
      </c>
      <c r="C46" s="222"/>
      <c r="D46" s="222"/>
      <c r="E46" s="222"/>
    </row>
    <row r="47" spans="2:5" s="21" customFormat="1" ht="13.5" thickBot="1">
      <c r="B47" s="25" t="s">
        <v>34</v>
      </c>
      <c r="C47" s="26" t="s">
        <v>35</v>
      </c>
      <c r="D47" s="220" t="s">
        <v>9</v>
      </c>
      <c r="E47" s="220"/>
    </row>
    <row r="48" spans="2:5" s="21" customFormat="1" ht="12.75">
      <c r="B48" s="27" t="s">
        <v>36</v>
      </c>
      <c r="C48" s="28">
        <v>20</v>
      </c>
      <c r="D48" s="216">
        <f>$C$23*(C48/100)</f>
        <v>258.74399999999997</v>
      </c>
      <c r="E48" s="216"/>
    </row>
    <row r="49" spans="2:5" s="21" customFormat="1" ht="12.75">
      <c r="B49" s="29" t="s">
        <v>37</v>
      </c>
      <c r="C49" s="30"/>
      <c r="D49" s="224">
        <f>$C$23*(C49/100)</f>
        <v>0</v>
      </c>
      <c r="E49" s="224"/>
    </row>
    <row r="50" spans="2:5" s="21" customFormat="1" ht="12.75">
      <c r="B50" s="29" t="s">
        <v>38</v>
      </c>
      <c r="C50" s="30"/>
      <c r="D50" s="224">
        <f t="shared" ref="D50:D55" si="0">$C$23*(C50/100)</f>
        <v>0</v>
      </c>
      <c r="E50" s="224"/>
    </row>
    <row r="51" spans="2:5" s="21" customFormat="1" ht="12.75">
      <c r="B51" s="29" t="s">
        <v>39</v>
      </c>
      <c r="C51" s="30"/>
      <c r="D51" s="224">
        <f t="shared" si="0"/>
        <v>0</v>
      </c>
      <c r="E51" s="224"/>
    </row>
    <row r="52" spans="2:5" s="21" customFormat="1" ht="12.75">
      <c r="B52" s="29" t="s">
        <v>40</v>
      </c>
      <c r="C52" s="30"/>
      <c r="D52" s="224">
        <f t="shared" si="0"/>
        <v>0</v>
      </c>
      <c r="E52" s="224"/>
    </row>
    <row r="53" spans="2:5" s="21" customFormat="1" ht="12.75">
      <c r="B53" s="31" t="s">
        <v>41</v>
      </c>
      <c r="C53" s="32">
        <v>8</v>
      </c>
      <c r="D53" s="212">
        <f t="shared" si="0"/>
        <v>103.49759999999999</v>
      </c>
      <c r="E53" s="212"/>
    </row>
    <row r="54" spans="2:5" s="21" customFormat="1" ht="12.75">
      <c r="B54" s="31" t="s">
        <v>42</v>
      </c>
      <c r="C54" s="32">
        <v>3</v>
      </c>
      <c r="D54" s="212">
        <f t="shared" si="0"/>
        <v>38.811599999999991</v>
      </c>
      <c r="E54" s="212"/>
    </row>
    <row r="55" spans="2:5" s="21" customFormat="1" ht="12.75">
      <c r="B55" s="29" t="s">
        <v>43</v>
      </c>
      <c r="C55" s="30"/>
      <c r="D55" s="224">
        <f t="shared" si="0"/>
        <v>0</v>
      </c>
      <c r="E55" s="224"/>
    </row>
    <row r="56" spans="2:5" s="21" customFormat="1" ht="13.5" thickBot="1">
      <c r="B56" s="33" t="s">
        <v>44</v>
      </c>
      <c r="C56" s="34">
        <f>SUM(C48:C55)</f>
        <v>31</v>
      </c>
      <c r="D56" s="208">
        <f>SUM(D48:E55)</f>
        <v>401.05319999999995</v>
      </c>
      <c r="E56" s="208"/>
    </row>
    <row r="57" spans="2:5" s="21" customFormat="1" ht="34.5" customHeight="1">
      <c r="B57" s="211" t="s">
        <v>176</v>
      </c>
      <c r="C57" s="211"/>
      <c r="D57" s="211"/>
      <c r="E57" s="211"/>
    </row>
    <row r="58" spans="2:5" s="21" customFormat="1" ht="13.5" thickBot="1">
      <c r="B58" s="36"/>
      <c r="C58" s="35"/>
      <c r="D58" s="35"/>
      <c r="E58" s="35"/>
    </row>
    <row r="59" spans="2:5" s="21" customFormat="1" ht="13.5" thickBot="1">
      <c r="B59" s="222" t="s">
        <v>45</v>
      </c>
      <c r="C59" s="222"/>
      <c r="D59" s="222"/>
      <c r="E59" s="222"/>
    </row>
    <row r="60" spans="2:5" s="21" customFormat="1" ht="13.5" thickBot="1">
      <c r="B60" s="25" t="s">
        <v>46</v>
      </c>
      <c r="C60" s="221" t="s">
        <v>9</v>
      </c>
      <c r="D60" s="221"/>
      <c r="E60" s="221"/>
    </row>
    <row r="61" spans="2:5" s="21" customFormat="1" ht="12.75">
      <c r="B61" s="27" t="s">
        <v>47</v>
      </c>
      <c r="C61" s="216">
        <f>$C$23*0.0893</f>
        <v>115.52919599999998</v>
      </c>
      <c r="D61" s="216"/>
      <c r="E61" s="216"/>
    </row>
    <row r="62" spans="2:5" s="21" customFormat="1" ht="12.75">
      <c r="B62" s="31" t="s">
        <v>48</v>
      </c>
      <c r="C62" s="212">
        <f>$C$23*0.0298</f>
        <v>38.552855999999991</v>
      </c>
      <c r="D62" s="212"/>
      <c r="E62" s="212"/>
    </row>
    <row r="63" spans="2:5" s="21" customFormat="1" ht="12.75">
      <c r="B63" s="37" t="s">
        <v>49</v>
      </c>
      <c r="C63" s="223">
        <f>SUM(C61:E62)</f>
        <v>154.08205199999998</v>
      </c>
      <c r="D63" s="223"/>
      <c r="E63" s="223"/>
    </row>
    <row r="64" spans="2:5" s="21" customFormat="1" ht="12.75">
      <c r="B64" s="31" t="s">
        <v>50</v>
      </c>
      <c r="C64" s="212">
        <f>C63*(C56/100)</f>
        <v>47.76543611999999</v>
      </c>
      <c r="D64" s="212"/>
      <c r="E64" s="212"/>
    </row>
    <row r="65" spans="2:5" s="21" customFormat="1" ht="13.5" thickBot="1">
      <c r="B65" s="33" t="s">
        <v>44</v>
      </c>
      <c r="C65" s="208">
        <f>SUM(C63:E64)</f>
        <v>201.84748811999998</v>
      </c>
      <c r="D65" s="208"/>
      <c r="E65" s="208"/>
    </row>
    <row r="66" spans="2:5" s="21" customFormat="1" ht="13.5" thickBot="1">
      <c r="B66" s="36"/>
      <c r="C66" s="35"/>
      <c r="D66" s="35"/>
      <c r="E66" s="35"/>
    </row>
    <row r="67" spans="2:5" s="21" customFormat="1" ht="13.5" thickBot="1">
      <c r="B67" s="222" t="s">
        <v>51</v>
      </c>
      <c r="C67" s="222"/>
      <c r="D67" s="222"/>
      <c r="E67" s="222"/>
    </row>
    <row r="68" spans="2:5" s="21" customFormat="1" ht="13.5" thickBot="1">
      <c r="B68" s="25" t="s">
        <v>52</v>
      </c>
      <c r="C68" s="221" t="s">
        <v>9</v>
      </c>
      <c r="D68" s="221"/>
      <c r="E68" s="221"/>
    </row>
    <row r="69" spans="2:5" s="21" customFormat="1" ht="12.75">
      <c r="B69" s="27" t="s">
        <v>53</v>
      </c>
      <c r="C69" s="216">
        <f>((C61/12)+(C62/12)+D48+D53+C32)*4*0.05*0.06</f>
        <v>4.5009812519999999</v>
      </c>
      <c r="D69" s="216"/>
      <c r="E69" s="216"/>
    </row>
    <row r="70" spans="2:5" s="21" customFormat="1" ht="12.75">
      <c r="B70" s="31" t="s">
        <v>54</v>
      </c>
      <c r="C70" s="212">
        <f>C69*(C56/100)</f>
        <v>1.3953041881199999</v>
      </c>
      <c r="D70" s="212"/>
      <c r="E70" s="212"/>
    </row>
    <row r="71" spans="2:5" s="21" customFormat="1" ht="13.5" thickBot="1">
      <c r="B71" s="33" t="s">
        <v>44</v>
      </c>
      <c r="C71" s="208">
        <f>SUM(C69:E70)</f>
        <v>5.8962854401199998</v>
      </c>
      <c r="D71" s="208"/>
      <c r="E71" s="208"/>
    </row>
    <row r="72" spans="2:5" s="21" customFormat="1" ht="13.5" thickBot="1">
      <c r="B72" s="36"/>
      <c r="C72" s="35"/>
      <c r="D72" s="35"/>
      <c r="E72" s="35"/>
    </row>
    <row r="73" spans="2:5" s="21" customFormat="1" ht="13.5" thickBot="1">
      <c r="B73" s="222" t="s">
        <v>55</v>
      </c>
      <c r="C73" s="222"/>
      <c r="D73" s="222"/>
      <c r="E73" s="222"/>
    </row>
    <row r="74" spans="2:5" s="21" customFormat="1" ht="13.5" thickBot="1">
      <c r="B74" s="25" t="s">
        <v>56</v>
      </c>
      <c r="C74" s="221" t="s">
        <v>9</v>
      </c>
      <c r="D74" s="221"/>
      <c r="E74" s="221"/>
    </row>
    <row r="75" spans="2:5" s="21" customFormat="1" ht="12.75">
      <c r="B75" s="27" t="s">
        <v>57</v>
      </c>
      <c r="C75" s="216">
        <f>C23*0.00417</f>
        <v>5.3948123999999993</v>
      </c>
      <c r="D75" s="216"/>
      <c r="E75" s="216"/>
    </row>
    <row r="76" spans="2:5" s="21" customFormat="1" ht="12.75">
      <c r="B76" s="31" t="s">
        <v>58</v>
      </c>
      <c r="C76" s="212">
        <f>C75*(C56/100)</f>
        <v>1.6723918439999998</v>
      </c>
      <c r="D76" s="212"/>
      <c r="E76" s="212"/>
    </row>
    <row r="77" spans="2:5" s="21" customFormat="1" ht="12.75">
      <c r="B77" s="31" t="s">
        <v>59</v>
      </c>
      <c r="C77" s="212">
        <f>$C$23*(0.08*0.5*0.05)</f>
        <v>2.5874399999999995</v>
      </c>
      <c r="D77" s="212"/>
      <c r="E77" s="212"/>
    </row>
    <row r="78" spans="2:5" s="21" customFormat="1" ht="12.75">
      <c r="B78" s="31" t="s">
        <v>60</v>
      </c>
      <c r="C78" s="212">
        <f>C23*0.01944</f>
        <v>25.149916799999996</v>
      </c>
      <c r="D78" s="212"/>
      <c r="E78" s="212"/>
    </row>
    <row r="79" spans="2:5" s="21" customFormat="1" ht="12.75">
      <c r="B79" s="31" t="s">
        <v>61</v>
      </c>
      <c r="C79" s="212">
        <f>C78*(C56/100)</f>
        <v>7.7964742079999985</v>
      </c>
      <c r="D79" s="212"/>
      <c r="E79" s="212"/>
    </row>
    <row r="80" spans="2:5" s="21" customFormat="1" ht="12.75">
      <c r="B80" s="31" t="s">
        <v>62</v>
      </c>
      <c r="C80" s="212">
        <f>$C$23*(0.08*0.5)</f>
        <v>51.748799999999996</v>
      </c>
      <c r="D80" s="212"/>
      <c r="E80" s="212"/>
    </row>
    <row r="81" spans="1:9" s="21" customFormat="1" ht="13.5" thickBot="1">
      <c r="B81" s="33" t="s">
        <v>44</v>
      </c>
      <c r="C81" s="208">
        <f>SUM(C75:E80)</f>
        <v>94.349835251999991</v>
      </c>
      <c r="D81" s="208"/>
      <c r="E81" s="208"/>
    </row>
    <row r="82" spans="1:9" s="21" customFormat="1" ht="13.5" thickBot="1">
      <c r="B82" s="36"/>
      <c r="C82" s="35"/>
      <c r="D82" s="35"/>
      <c r="E82" s="35"/>
    </row>
    <row r="83" spans="1:9" s="21" customFormat="1" ht="13.5" thickBot="1">
      <c r="B83" s="222" t="s">
        <v>63</v>
      </c>
      <c r="C83" s="222"/>
      <c r="D83" s="222"/>
      <c r="E83" s="222"/>
    </row>
    <row r="84" spans="1:9" s="21" customFormat="1" ht="13.5" thickBot="1">
      <c r="B84" s="25" t="s">
        <v>64</v>
      </c>
      <c r="C84" s="220" t="s">
        <v>9</v>
      </c>
      <c r="D84" s="220"/>
      <c r="E84" s="220"/>
    </row>
    <row r="85" spans="1:9" s="38" customFormat="1" ht="12.75">
      <c r="B85" s="39" t="s">
        <v>65</v>
      </c>
      <c r="C85" s="216">
        <f>C23*0.0893</f>
        <v>115.52919599999998</v>
      </c>
      <c r="D85" s="216"/>
      <c r="E85" s="216"/>
      <c r="H85" s="21"/>
    </row>
    <row r="86" spans="1:9" s="21" customFormat="1" ht="15">
      <c r="B86" s="31" t="s">
        <v>66</v>
      </c>
      <c r="C86" s="212">
        <f>C23*0.0166</f>
        <v>21.475751999999996</v>
      </c>
      <c r="D86" s="212"/>
      <c r="E86" s="212"/>
      <c r="I86" s="150" t="s">
        <v>175</v>
      </c>
    </row>
    <row r="87" spans="1:9" s="21" customFormat="1" ht="12.75">
      <c r="B87" s="31" t="s">
        <v>67</v>
      </c>
      <c r="C87" s="212">
        <f>C23*0.0002</f>
        <v>0.25874399999999997</v>
      </c>
      <c r="D87" s="212"/>
      <c r="E87" s="212"/>
    </row>
    <row r="88" spans="1:9" s="21" customFormat="1" ht="12.75">
      <c r="B88" s="31" t="s">
        <v>68</v>
      </c>
      <c r="C88" s="212">
        <f>C23*0.0073</f>
        <v>9.4441559999999978</v>
      </c>
      <c r="D88" s="212"/>
      <c r="E88" s="212"/>
    </row>
    <row r="89" spans="1:9" s="21" customFormat="1" ht="12.75">
      <c r="B89" s="31" t="s">
        <v>69</v>
      </c>
      <c r="C89" s="212">
        <f>C23*0.0003</f>
        <v>0.38811599999999991</v>
      </c>
      <c r="D89" s="212"/>
      <c r="E89" s="212"/>
    </row>
    <row r="90" spans="1:9" s="21" customFormat="1" ht="12.75">
      <c r="B90" s="40" t="s">
        <v>70</v>
      </c>
      <c r="C90" s="212">
        <v>0</v>
      </c>
      <c r="D90" s="212"/>
      <c r="E90" s="212"/>
      <c r="H90" s="38"/>
    </row>
    <row r="91" spans="1:9" s="21" customFormat="1" ht="12.75">
      <c r="A91" s="41"/>
      <c r="B91" s="31" t="s">
        <v>71</v>
      </c>
      <c r="C91" s="212">
        <f>SUM(C85:E90)*(C56/100)</f>
        <v>45.599748839999997</v>
      </c>
      <c r="D91" s="212"/>
      <c r="E91" s="212"/>
      <c r="H91" s="38"/>
    </row>
    <row r="92" spans="1:9" s="21" customFormat="1" ht="13.5" thickBot="1">
      <c r="A92" s="41"/>
      <c r="B92" s="33" t="s">
        <v>44</v>
      </c>
      <c r="C92" s="208">
        <f>SUM(C85:E91)</f>
        <v>192.69571283999997</v>
      </c>
      <c r="D92" s="208"/>
      <c r="E92" s="208"/>
      <c r="H92" s="38"/>
    </row>
    <row r="93" spans="1:9" s="38" customFormat="1" ht="16.5" thickBot="1">
      <c r="B93" s="42"/>
    </row>
    <row r="94" spans="1:9" s="38" customFormat="1" ht="13.5" thickBot="1">
      <c r="B94" s="219" t="s">
        <v>72</v>
      </c>
      <c r="C94" s="219"/>
      <c r="D94" s="219"/>
      <c r="E94" s="219"/>
    </row>
    <row r="95" spans="1:9" s="38" customFormat="1" ht="13.5" thickBot="1">
      <c r="B95" s="43" t="s">
        <v>73</v>
      </c>
      <c r="C95" s="215" t="s">
        <v>9</v>
      </c>
      <c r="D95" s="215"/>
      <c r="E95" s="215"/>
    </row>
    <row r="96" spans="1:9" s="38" customFormat="1" ht="12.75">
      <c r="B96" s="39" t="s">
        <v>74</v>
      </c>
      <c r="C96" s="216">
        <f>D56</f>
        <v>401.05319999999995</v>
      </c>
      <c r="D96" s="216"/>
      <c r="E96" s="216"/>
    </row>
    <row r="97" spans="2:5" s="38" customFormat="1" ht="12.75">
      <c r="B97" s="44" t="s">
        <v>75</v>
      </c>
      <c r="C97" s="212">
        <f>C65</f>
        <v>201.84748811999998</v>
      </c>
      <c r="D97" s="212"/>
      <c r="E97" s="212"/>
    </row>
    <row r="98" spans="2:5" s="38" customFormat="1" ht="12.75">
      <c r="B98" s="44" t="s">
        <v>76</v>
      </c>
      <c r="C98" s="212">
        <f>C71</f>
        <v>5.8962854401199998</v>
      </c>
      <c r="D98" s="212"/>
      <c r="E98" s="212"/>
    </row>
    <row r="99" spans="2:5" s="38" customFormat="1" ht="12.75">
      <c r="B99" s="44" t="s">
        <v>77</v>
      </c>
      <c r="C99" s="212">
        <f>C81</f>
        <v>94.349835251999991</v>
      </c>
      <c r="D99" s="212"/>
      <c r="E99" s="212"/>
    </row>
    <row r="100" spans="2:5" s="38" customFormat="1" ht="12.75">
      <c r="B100" s="44" t="s">
        <v>78</v>
      </c>
      <c r="C100" s="212">
        <f>C92</f>
        <v>192.69571283999997</v>
      </c>
      <c r="D100" s="212"/>
      <c r="E100" s="212"/>
    </row>
    <row r="101" spans="2:5" s="38" customFormat="1" ht="12.75">
      <c r="B101" s="44" t="s">
        <v>79</v>
      </c>
      <c r="C101" s="212"/>
      <c r="D101" s="212"/>
      <c r="E101" s="212"/>
    </row>
    <row r="102" spans="2:5" s="38" customFormat="1" ht="13.5" thickBot="1">
      <c r="B102" s="45" t="s">
        <v>44</v>
      </c>
      <c r="C102" s="208">
        <f>SUM(C96:E101)</f>
        <v>895.84252165211979</v>
      </c>
      <c r="D102" s="208"/>
      <c r="E102" s="208"/>
    </row>
    <row r="103" spans="2:5" s="38" customFormat="1" ht="16.5" thickBot="1">
      <c r="B103" s="42"/>
    </row>
    <row r="104" spans="2:5" s="38" customFormat="1" ht="13.5" thickBot="1">
      <c r="B104" s="218" t="s">
        <v>80</v>
      </c>
      <c r="C104" s="218"/>
      <c r="D104" s="218"/>
      <c r="E104" s="218"/>
    </row>
    <row r="105" spans="2:5" s="38" customFormat="1" ht="13.5" thickBot="1">
      <c r="B105" s="43" t="s">
        <v>81</v>
      </c>
      <c r="C105" s="46" t="s">
        <v>35</v>
      </c>
      <c r="D105" s="215" t="s">
        <v>9</v>
      </c>
      <c r="E105" s="215"/>
    </row>
    <row r="106" spans="2:5" s="38" customFormat="1" ht="12.75">
      <c r="B106" s="39" t="s">
        <v>82</v>
      </c>
      <c r="C106" s="47">
        <v>2</v>
      </c>
      <c r="D106" s="216">
        <f>(C102+C43+C34+C23)*C106/100</f>
        <v>51.625250433042396</v>
      </c>
      <c r="E106" s="216"/>
    </row>
    <row r="107" spans="2:5" s="38" customFormat="1" ht="12.75">
      <c r="B107" s="44" t="s">
        <v>83</v>
      </c>
      <c r="C107" s="48"/>
      <c r="D107" s="212"/>
      <c r="E107" s="212"/>
    </row>
    <row r="108" spans="2:5" s="38" customFormat="1" ht="12.75">
      <c r="B108" s="44" t="s">
        <v>214</v>
      </c>
      <c r="C108" s="48">
        <v>9.94</v>
      </c>
      <c r="D108" s="212">
        <f>((C102+C43+C34+C23+D106+D112)/(1-(C108+C110)/100))*(C108/100)</f>
        <v>313.82932687064465</v>
      </c>
      <c r="E108" s="212"/>
    </row>
    <row r="109" spans="2:5" s="38" customFormat="1" ht="12.75">
      <c r="B109" s="44" t="s">
        <v>84</v>
      </c>
      <c r="C109" s="48"/>
      <c r="D109" s="212"/>
      <c r="E109" s="212"/>
    </row>
    <row r="110" spans="2:5" s="38" customFormat="1" ht="12.75">
      <c r="B110" s="44" t="s">
        <v>213</v>
      </c>
      <c r="C110" s="48">
        <v>5</v>
      </c>
      <c r="D110" s="212">
        <f>((C102+C43+C34+C23+D106+D112)/(1-(C108+C110)/100))*(C110/100)</f>
        <v>157.86183444197422</v>
      </c>
      <c r="E110" s="212"/>
    </row>
    <row r="111" spans="2:5" s="38" customFormat="1" ht="12.75">
      <c r="B111" s="44" t="s">
        <v>85</v>
      </c>
      <c r="C111" s="48"/>
      <c r="D111" s="212"/>
      <c r="E111" s="212"/>
    </row>
    <row r="112" spans="2:5" s="38" customFormat="1" ht="12.75">
      <c r="B112" s="44" t="s">
        <v>86</v>
      </c>
      <c r="C112" s="48">
        <v>2</v>
      </c>
      <c r="D112" s="212">
        <f>(C102+C43+C34+C23+D106)*C112/100</f>
        <v>52.657755441703237</v>
      </c>
      <c r="E112" s="212"/>
    </row>
    <row r="113" spans="2:17" s="38" customFormat="1" ht="13.5" thickBot="1">
      <c r="B113" s="45" t="s">
        <v>44</v>
      </c>
      <c r="C113" s="49">
        <f>SUM(C106:C112)</f>
        <v>18.939999999999998</v>
      </c>
      <c r="D113" s="208">
        <f>SUM(D106:E112)</f>
        <v>575.97416718736451</v>
      </c>
      <c r="E113" s="208"/>
    </row>
    <row r="114" spans="2:17" s="38" customFormat="1" ht="31.5" customHeight="1">
      <c r="B114" s="211" t="s">
        <v>174</v>
      </c>
      <c r="C114" s="211"/>
      <c r="D114" s="211"/>
      <c r="E114" s="211"/>
    </row>
    <row r="115" spans="2:17" s="38" customFormat="1" ht="12.75">
      <c r="B115" s="209" t="s">
        <v>87</v>
      </c>
      <c r="C115" s="209"/>
      <c r="D115" s="209"/>
      <c r="E115" s="209"/>
    </row>
    <row r="116" spans="2:17" s="38" customFormat="1" ht="12.75">
      <c r="B116" s="210" t="s">
        <v>88</v>
      </c>
      <c r="C116" s="210"/>
      <c r="D116" s="210"/>
      <c r="E116" s="210"/>
    </row>
    <row r="117" spans="2:17" s="38" customFormat="1" ht="16.5" thickBot="1">
      <c r="B117" s="42"/>
    </row>
    <row r="118" spans="2:17" s="38" customFormat="1" ht="13.5" thickBot="1">
      <c r="B118" s="43" t="s">
        <v>89</v>
      </c>
      <c r="C118" s="215" t="s">
        <v>9</v>
      </c>
      <c r="D118" s="215"/>
      <c r="E118" s="215"/>
    </row>
    <row r="119" spans="2:17" s="38" customFormat="1" ht="12.75">
      <c r="B119" s="39" t="s">
        <v>90</v>
      </c>
      <c r="C119" s="216">
        <f>C23</f>
        <v>1293.7199999999998</v>
      </c>
      <c r="D119" s="216"/>
      <c r="E119" s="216"/>
    </row>
    <row r="120" spans="2:17" s="38" customFormat="1" ht="12.75">
      <c r="B120" s="44" t="s">
        <v>91</v>
      </c>
      <c r="C120" s="212">
        <f>C34</f>
        <v>391.7</v>
      </c>
      <c r="D120" s="212"/>
      <c r="E120" s="212"/>
    </row>
    <row r="121" spans="2:17" s="38" customFormat="1" ht="12.75">
      <c r="B121" s="44" t="s">
        <v>92</v>
      </c>
      <c r="C121" s="212">
        <f>C43</f>
        <v>0</v>
      </c>
      <c r="D121" s="212"/>
      <c r="E121" s="212"/>
    </row>
    <row r="122" spans="2:17" s="38" customFormat="1" ht="12.75">
      <c r="B122" s="44" t="s">
        <v>93</v>
      </c>
      <c r="C122" s="212">
        <f>C102</f>
        <v>895.84252165211979</v>
      </c>
      <c r="D122" s="212"/>
      <c r="E122" s="212"/>
    </row>
    <row r="123" spans="2:17" s="38" customFormat="1" ht="12.75">
      <c r="B123" s="50" t="s">
        <v>94</v>
      </c>
      <c r="C123" s="217">
        <f>SUM(C119:E122)</f>
        <v>2581.2625216521196</v>
      </c>
      <c r="D123" s="217"/>
      <c r="E123" s="217"/>
    </row>
    <row r="124" spans="2:17" s="38" customFormat="1" ht="12.75">
      <c r="B124" s="44" t="s">
        <v>95</v>
      </c>
      <c r="C124" s="212">
        <f>D113</f>
        <v>575.97416718736451</v>
      </c>
      <c r="D124" s="212"/>
      <c r="E124" s="212"/>
    </row>
    <row r="125" spans="2:17" s="38" customFormat="1" ht="13.5" thickBot="1">
      <c r="B125" s="45" t="s">
        <v>96</v>
      </c>
      <c r="C125" s="213">
        <f>SUM(C123:E124)</f>
        <v>3157.236688839484</v>
      </c>
      <c r="D125" s="213"/>
      <c r="E125" s="213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2:17" s="38" customFormat="1" ht="13.5" thickBot="1">
      <c r="B126" s="51" t="s">
        <v>97</v>
      </c>
      <c r="C126" s="214">
        <f>C125/C23</f>
        <v>2.4404327743557217</v>
      </c>
      <c r="D126" s="214"/>
      <c r="E126" s="214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2:17" s="38" customFormat="1" ht="15.75">
      <c r="B127" s="42"/>
      <c r="H127" s="1"/>
      <c r="I127" s="1"/>
      <c r="J127" s="1"/>
      <c r="K127" s="1"/>
      <c r="L127" s="1"/>
      <c r="M127" s="1"/>
      <c r="N127" s="1"/>
      <c r="O127" s="1"/>
      <c r="P127" s="1"/>
      <c r="Q127" s="1"/>
    </row>
  </sheetData>
  <sheetProtection selectLockedCells="1" selectUnlockedCells="1"/>
  <mergeCells count="115">
    <mergeCell ref="B1:E1"/>
    <mergeCell ref="C3:E3"/>
    <mergeCell ref="C4:E4"/>
    <mergeCell ref="C6:E6"/>
    <mergeCell ref="C7:E7"/>
    <mergeCell ref="C8:E8"/>
    <mergeCell ref="C17:E17"/>
    <mergeCell ref="C18:E18"/>
    <mergeCell ref="C19:E19"/>
    <mergeCell ref="C20:E20"/>
    <mergeCell ref="C21:E21"/>
    <mergeCell ref="C22:E22"/>
    <mergeCell ref="C9:E9"/>
    <mergeCell ref="C10:E10"/>
    <mergeCell ref="B13:E13"/>
    <mergeCell ref="C14:E14"/>
    <mergeCell ref="C15:E15"/>
    <mergeCell ref="C16:E16"/>
    <mergeCell ref="C29:E29"/>
    <mergeCell ref="C30:E30"/>
    <mergeCell ref="C31:E31"/>
    <mergeCell ref="C32:E32"/>
    <mergeCell ref="C33:E33"/>
    <mergeCell ref="C34:E34"/>
    <mergeCell ref="C23:E23"/>
    <mergeCell ref="B24:E24"/>
    <mergeCell ref="B25:E25"/>
    <mergeCell ref="C26:E26"/>
    <mergeCell ref="C27:E27"/>
    <mergeCell ref="C28:E28"/>
    <mergeCell ref="C41:E41"/>
    <mergeCell ref="C42:E42"/>
    <mergeCell ref="C43:E43"/>
    <mergeCell ref="B44:E44"/>
    <mergeCell ref="B45:E45"/>
    <mergeCell ref="B46:E46"/>
    <mergeCell ref="B35:E35"/>
    <mergeCell ref="B36:E36"/>
    <mergeCell ref="C37:E37"/>
    <mergeCell ref="C38:E38"/>
    <mergeCell ref="C39:E39"/>
    <mergeCell ref="C40:E40"/>
    <mergeCell ref="D53:E53"/>
    <mergeCell ref="D54:E54"/>
    <mergeCell ref="D55:E55"/>
    <mergeCell ref="D56:E56"/>
    <mergeCell ref="B57:E57"/>
    <mergeCell ref="B59:E59"/>
    <mergeCell ref="D47:E47"/>
    <mergeCell ref="D48:E48"/>
    <mergeCell ref="D49:E49"/>
    <mergeCell ref="D50:E50"/>
    <mergeCell ref="D51:E51"/>
    <mergeCell ref="D52:E52"/>
    <mergeCell ref="B67:E67"/>
    <mergeCell ref="C68:E68"/>
    <mergeCell ref="C69:E69"/>
    <mergeCell ref="C70:E70"/>
    <mergeCell ref="C71:E71"/>
    <mergeCell ref="B73:E73"/>
    <mergeCell ref="C60:E60"/>
    <mergeCell ref="C61:E61"/>
    <mergeCell ref="C62:E62"/>
    <mergeCell ref="C63:E63"/>
    <mergeCell ref="C64:E64"/>
    <mergeCell ref="C65:E65"/>
    <mergeCell ref="C80:E80"/>
    <mergeCell ref="C81:E81"/>
    <mergeCell ref="B83:E83"/>
    <mergeCell ref="C84:E84"/>
    <mergeCell ref="C85:E85"/>
    <mergeCell ref="C86:E86"/>
    <mergeCell ref="C74:E74"/>
    <mergeCell ref="C75:E75"/>
    <mergeCell ref="C76:E76"/>
    <mergeCell ref="C77:E77"/>
    <mergeCell ref="C78:E78"/>
    <mergeCell ref="C79:E79"/>
    <mergeCell ref="B94:E94"/>
    <mergeCell ref="C95:E95"/>
    <mergeCell ref="C96:E96"/>
    <mergeCell ref="C97:E97"/>
    <mergeCell ref="C98:E98"/>
    <mergeCell ref="C99:E99"/>
    <mergeCell ref="C87:E87"/>
    <mergeCell ref="C88:E88"/>
    <mergeCell ref="C89:E89"/>
    <mergeCell ref="C90:E90"/>
    <mergeCell ref="C91:E91"/>
    <mergeCell ref="C92:E92"/>
    <mergeCell ref="D107:E107"/>
    <mergeCell ref="D108:E108"/>
    <mergeCell ref="D109:E109"/>
    <mergeCell ref="D110:E110"/>
    <mergeCell ref="D111:E111"/>
    <mergeCell ref="D112:E112"/>
    <mergeCell ref="C100:E100"/>
    <mergeCell ref="C101:E101"/>
    <mergeCell ref="C102:E102"/>
    <mergeCell ref="B104:E104"/>
    <mergeCell ref="D105:E105"/>
    <mergeCell ref="D106:E106"/>
    <mergeCell ref="C126:E126"/>
    <mergeCell ref="C120:E120"/>
    <mergeCell ref="C121:E121"/>
    <mergeCell ref="C122:E122"/>
    <mergeCell ref="C123:E123"/>
    <mergeCell ref="C124:E124"/>
    <mergeCell ref="C125:E125"/>
    <mergeCell ref="D113:E113"/>
    <mergeCell ref="B114:E114"/>
    <mergeCell ref="B115:E115"/>
    <mergeCell ref="B116:E116"/>
    <mergeCell ref="C118:E118"/>
    <mergeCell ref="C119:E119"/>
  </mergeCells>
  <pageMargins left="0.78749999999999998" right="0.78749999999999998" top="1.0527777777777778" bottom="1.0527777777777778" header="0.78749999999999998" footer="0.78749999999999998"/>
  <pageSetup paperSize="9" scale="81" firstPageNumber="0" fitToHeight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  <colBreaks count="1" manualBreakCount="1">
    <brk id="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7"/>
  <sheetViews>
    <sheetView workbookViewId="0">
      <selection activeCell="C3" sqref="C3:E4"/>
    </sheetView>
  </sheetViews>
  <sheetFormatPr defaultColWidth="11.42578125" defaultRowHeight="11.25"/>
  <cols>
    <col min="1" max="1" width="3.42578125" style="1" customWidth="1"/>
    <col min="2" max="2" width="65.42578125" style="1" bestFit="1" customWidth="1"/>
    <col min="3" max="3" width="6.140625" style="1" bestFit="1" customWidth="1"/>
    <col min="4" max="5" width="15.7109375" style="1" customWidth="1"/>
    <col min="6" max="16384" width="11.42578125" style="1"/>
  </cols>
  <sheetData>
    <row r="1" spans="2:5" ht="45" customHeight="1">
      <c r="B1" s="237" t="s">
        <v>177</v>
      </c>
      <c r="C1" s="237"/>
      <c r="D1" s="237"/>
      <c r="E1" s="237"/>
    </row>
    <row r="2" spans="2:5" ht="13.5" thickBot="1">
      <c r="B2" s="2"/>
      <c r="C2" s="3"/>
      <c r="D2" s="3"/>
      <c r="E2" s="3"/>
    </row>
    <row r="3" spans="2:5" ht="13.5" thickBot="1">
      <c r="B3" s="4" t="s">
        <v>0</v>
      </c>
      <c r="C3" s="238"/>
      <c r="D3" s="239"/>
      <c r="E3" s="239"/>
    </row>
    <row r="4" spans="2:5" ht="13.5" thickBot="1">
      <c r="B4" s="5" t="s">
        <v>1</v>
      </c>
      <c r="C4" s="239"/>
      <c r="D4" s="239"/>
      <c r="E4" s="239"/>
    </row>
    <row r="5" spans="2:5" ht="13.5" thickBot="1">
      <c r="B5" s="2"/>
      <c r="C5" s="3"/>
      <c r="D5" s="3"/>
      <c r="E5" s="3"/>
    </row>
    <row r="6" spans="2:5" ht="12.75">
      <c r="B6" s="6" t="s">
        <v>2</v>
      </c>
      <c r="C6" s="240" t="s">
        <v>178</v>
      </c>
      <c r="D6" s="240"/>
      <c r="E6" s="240"/>
    </row>
    <row r="7" spans="2:5" ht="12.75">
      <c r="B7" s="7" t="s">
        <v>3</v>
      </c>
      <c r="C7" s="241">
        <v>22</v>
      </c>
      <c r="D7" s="241"/>
      <c r="E7" s="241"/>
    </row>
    <row r="8" spans="2:5" ht="12.75">
      <c r="B8" s="8" t="s">
        <v>4</v>
      </c>
      <c r="C8" s="242">
        <v>957</v>
      </c>
      <c r="D8" s="242"/>
      <c r="E8" s="242"/>
    </row>
    <row r="9" spans="2:5" ht="12.75">
      <c r="B9" s="8" t="s">
        <v>5</v>
      </c>
      <c r="C9" s="243" t="s">
        <v>188</v>
      </c>
      <c r="D9" s="243"/>
      <c r="E9" s="243"/>
    </row>
    <row r="10" spans="2:5" ht="13.5" thickBot="1">
      <c r="B10" s="9" t="s">
        <v>6</v>
      </c>
      <c r="C10" s="244">
        <v>42736</v>
      </c>
      <c r="D10" s="244"/>
      <c r="E10" s="244"/>
    </row>
    <row r="11" spans="2:5" ht="12.75">
      <c r="B11" s="10"/>
      <c r="C11" s="11"/>
      <c r="D11" s="12"/>
      <c r="E11" s="12"/>
    </row>
    <row r="12" spans="2:5" ht="12" thickBot="1">
      <c r="C12" s="13"/>
      <c r="D12" s="13"/>
      <c r="E12" s="13"/>
    </row>
    <row r="13" spans="2:5" ht="12.75">
      <c r="B13" s="245" t="s">
        <v>7</v>
      </c>
      <c r="C13" s="245"/>
      <c r="D13" s="245"/>
      <c r="E13" s="245"/>
    </row>
    <row r="14" spans="2:5" ht="12.75">
      <c r="B14" s="14" t="s">
        <v>8</v>
      </c>
      <c r="C14" s="235" t="s">
        <v>9</v>
      </c>
      <c r="D14" s="235"/>
      <c r="E14" s="235"/>
    </row>
    <row r="15" spans="2:5" ht="12.75">
      <c r="B15" s="15" t="s">
        <v>10</v>
      </c>
      <c r="C15" s="228">
        <v>957</v>
      </c>
      <c r="D15" s="228"/>
      <c r="E15" s="228"/>
    </row>
    <row r="16" spans="2:5" ht="12.75">
      <c r="B16" s="15" t="s">
        <v>11</v>
      </c>
      <c r="C16" s="228"/>
      <c r="D16" s="228"/>
      <c r="E16" s="228"/>
    </row>
    <row r="17" spans="2:5" ht="12.75">
      <c r="B17" s="15" t="s">
        <v>12</v>
      </c>
      <c r="C17" s="228"/>
      <c r="D17" s="228"/>
      <c r="E17" s="228"/>
    </row>
    <row r="18" spans="2:5" ht="12.75">
      <c r="B18" s="16" t="s">
        <v>13</v>
      </c>
      <c r="C18" s="236"/>
      <c r="D18" s="236"/>
      <c r="E18" s="236"/>
    </row>
    <row r="19" spans="2:5" ht="12.75">
      <c r="B19" s="16" t="s">
        <v>14</v>
      </c>
      <c r="C19" s="236"/>
      <c r="D19" s="236"/>
      <c r="E19" s="236"/>
    </row>
    <row r="20" spans="2:5" ht="12.75">
      <c r="B20" s="16" t="s">
        <v>15</v>
      </c>
      <c r="C20" s="236"/>
      <c r="D20" s="236"/>
      <c r="E20" s="236"/>
    </row>
    <row r="21" spans="2:5" ht="12.75">
      <c r="B21" s="16" t="s">
        <v>217</v>
      </c>
      <c r="C21" s="228">
        <v>149.04</v>
      </c>
      <c r="D21" s="228"/>
      <c r="E21" s="228"/>
    </row>
    <row r="22" spans="2:5" ht="12.75">
      <c r="B22" s="16" t="s">
        <v>212</v>
      </c>
      <c r="C22" s="228"/>
      <c r="D22" s="228"/>
      <c r="E22" s="228"/>
    </row>
    <row r="23" spans="2:5" ht="13.5" thickBot="1">
      <c r="B23" s="17" t="s">
        <v>17</v>
      </c>
      <c r="C23" s="213">
        <f>SUM(C15:E22)</f>
        <v>1106.04</v>
      </c>
      <c r="D23" s="213"/>
      <c r="E23" s="213"/>
    </row>
    <row r="24" spans="2:5" ht="12" thickBot="1">
      <c r="B24" s="232"/>
      <c r="C24" s="232"/>
      <c r="D24" s="232"/>
      <c r="E24" s="232"/>
    </row>
    <row r="25" spans="2:5" ht="13.5" thickBot="1">
      <c r="B25" s="227" t="s">
        <v>18</v>
      </c>
      <c r="C25" s="227"/>
      <c r="D25" s="227"/>
      <c r="E25" s="227"/>
    </row>
    <row r="26" spans="2:5" ht="13.5" thickBot="1">
      <c r="B26" s="18" t="s">
        <v>19</v>
      </c>
      <c r="C26" s="233" t="s">
        <v>9</v>
      </c>
      <c r="D26" s="233"/>
      <c r="E26" s="233"/>
    </row>
    <row r="27" spans="2:5" ht="12.75">
      <c r="B27" s="19" t="s">
        <v>20</v>
      </c>
      <c r="C27" s="234">
        <v>180</v>
      </c>
      <c r="D27" s="234"/>
      <c r="E27" s="234"/>
    </row>
    <row r="28" spans="2:5" ht="12.75">
      <c r="B28" s="15" t="s">
        <v>21</v>
      </c>
      <c r="C28" s="228">
        <v>198</v>
      </c>
      <c r="D28" s="228"/>
      <c r="E28" s="228"/>
    </row>
    <row r="29" spans="2:5" ht="12.75">
      <c r="B29" s="15" t="s">
        <v>215</v>
      </c>
      <c r="C29" s="228">
        <v>4</v>
      </c>
      <c r="D29" s="228"/>
      <c r="E29" s="228"/>
    </row>
    <row r="30" spans="2:5" ht="12.75">
      <c r="B30" s="15" t="s">
        <v>22</v>
      </c>
      <c r="C30" s="228"/>
      <c r="D30" s="228"/>
      <c r="E30" s="228"/>
    </row>
    <row r="31" spans="2:5" ht="12.75">
      <c r="B31" s="15" t="s">
        <v>23</v>
      </c>
      <c r="C31" s="228">
        <v>9.6999999999999993</v>
      </c>
      <c r="D31" s="228"/>
      <c r="E31" s="228"/>
    </row>
    <row r="32" spans="2:5" ht="12.75">
      <c r="B32" s="20" t="s">
        <v>24</v>
      </c>
      <c r="C32" s="228"/>
      <c r="D32" s="228"/>
      <c r="E32" s="228"/>
    </row>
    <row r="33" spans="2:5" ht="12.75">
      <c r="B33" s="15" t="s">
        <v>25</v>
      </c>
      <c r="C33" s="228"/>
      <c r="D33" s="228"/>
      <c r="E33" s="228"/>
    </row>
    <row r="34" spans="2:5" ht="13.5" thickBot="1">
      <c r="B34" s="17" t="s">
        <v>26</v>
      </c>
      <c r="C34" s="225">
        <f>SUM(C27:E33)</f>
        <v>391.7</v>
      </c>
      <c r="D34" s="225"/>
      <c r="E34" s="225"/>
    </row>
    <row r="35" spans="2:5" s="21" customFormat="1" ht="12" thickBot="1">
      <c r="B35" s="229"/>
      <c r="C35" s="229"/>
      <c r="D35" s="229"/>
      <c r="E35" s="229"/>
    </row>
    <row r="36" spans="2:5" s="21" customFormat="1" ht="13.5" thickBot="1">
      <c r="B36" s="227" t="s">
        <v>27</v>
      </c>
      <c r="C36" s="227"/>
      <c r="D36" s="227"/>
      <c r="E36" s="227"/>
    </row>
    <row r="37" spans="2:5" s="21" customFormat="1" ht="13.5" thickBot="1">
      <c r="B37" s="18" t="s">
        <v>28</v>
      </c>
      <c r="C37" s="230" t="s">
        <v>9</v>
      </c>
      <c r="D37" s="230"/>
      <c r="E37" s="230"/>
    </row>
    <row r="38" spans="2:5" s="21" customFormat="1" ht="12.75">
      <c r="B38" s="22" t="s">
        <v>30</v>
      </c>
      <c r="C38" s="231">
        <f>Equipamentos!J16</f>
        <v>0</v>
      </c>
      <c r="D38" s="231"/>
      <c r="E38" s="231"/>
    </row>
    <row r="39" spans="2:5" s="21" customFormat="1" ht="12.75">
      <c r="B39" s="23" t="s">
        <v>154</v>
      </c>
      <c r="C39" s="228">
        <f>'Materiais Consumo'!G51</f>
        <v>0</v>
      </c>
      <c r="D39" s="228"/>
      <c r="E39" s="228"/>
    </row>
    <row r="40" spans="2:5" s="21" customFormat="1" ht="12.75">
      <c r="B40" s="23" t="s">
        <v>155</v>
      </c>
      <c r="C40" s="228">
        <f>Utensílios!F30</f>
        <v>0</v>
      </c>
      <c r="D40" s="228"/>
      <c r="E40" s="228"/>
    </row>
    <row r="41" spans="2:5" s="21" customFormat="1" ht="12.75">
      <c r="B41" s="23" t="s">
        <v>150</v>
      </c>
      <c r="C41" s="228">
        <f>Uniforme!E25</f>
        <v>0</v>
      </c>
      <c r="D41" s="228"/>
      <c r="E41" s="228"/>
    </row>
    <row r="42" spans="2:5" s="21" customFormat="1" ht="12.75">
      <c r="B42" s="23" t="s">
        <v>29</v>
      </c>
      <c r="C42" s="228">
        <f>Uniforme!E10</f>
        <v>0</v>
      </c>
      <c r="D42" s="228"/>
      <c r="E42" s="228"/>
    </row>
    <row r="43" spans="2:5" s="21" customFormat="1" ht="13.5" thickBot="1">
      <c r="B43" s="24" t="s">
        <v>31</v>
      </c>
      <c r="C43" s="225">
        <f>SUM(C38:E42)</f>
        <v>0</v>
      </c>
      <c r="D43" s="225"/>
      <c r="E43" s="225"/>
    </row>
    <row r="44" spans="2:5" s="21" customFormat="1" ht="12" thickBot="1">
      <c r="B44" s="226"/>
      <c r="C44" s="226"/>
      <c r="D44" s="226"/>
      <c r="E44" s="226"/>
    </row>
    <row r="45" spans="2:5" s="21" customFormat="1" ht="13.5" thickBot="1">
      <c r="B45" s="227" t="s">
        <v>32</v>
      </c>
      <c r="C45" s="227"/>
      <c r="D45" s="227"/>
      <c r="E45" s="227"/>
    </row>
    <row r="46" spans="2:5" s="21" customFormat="1" ht="13.5" thickBot="1">
      <c r="B46" s="222" t="s">
        <v>33</v>
      </c>
      <c r="C46" s="222"/>
      <c r="D46" s="222"/>
      <c r="E46" s="222"/>
    </row>
    <row r="47" spans="2:5" s="21" customFormat="1" ht="13.5" thickBot="1">
      <c r="B47" s="25" t="s">
        <v>34</v>
      </c>
      <c r="C47" s="26" t="s">
        <v>35</v>
      </c>
      <c r="D47" s="220" t="s">
        <v>9</v>
      </c>
      <c r="E47" s="220"/>
    </row>
    <row r="48" spans="2:5" s="21" customFormat="1" ht="12.75">
      <c r="B48" s="27" t="s">
        <v>36</v>
      </c>
      <c r="C48" s="28">
        <v>20</v>
      </c>
      <c r="D48" s="216">
        <f>$C$23*(C48/100)</f>
        <v>221.208</v>
      </c>
      <c r="E48" s="216"/>
    </row>
    <row r="49" spans="2:5" s="21" customFormat="1" ht="12.75">
      <c r="B49" s="29" t="s">
        <v>37</v>
      </c>
      <c r="C49" s="30"/>
      <c r="D49" s="224">
        <f>$C$23*(C49/100)</f>
        <v>0</v>
      </c>
      <c r="E49" s="224"/>
    </row>
    <row r="50" spans="2:5" s="21" customFormat="1" ht="12.75">
      <c r="B50" s="29" t="s">
        <v>38</v>
      </c>
      <c r="C50" s="30"/>
      <c r="D50" s="224">
        <f t="shared" ref="D50:D55" si="0">$C$23*(C50/100)</f>
        <v>0</v>
      </c>
      <c r="E50" s="224"/>
    </row>
    <row r="51" spans="2:5" s="21" customFormat="1" ht="12.75">
      <c r="B51" s="29" t="s">
        <v>39</v>
      </c>
      <c r="C51" s="30"/>
      <c r="D51" s="224">
        <f t="shared" si="0"/>
        <v>0</v>
      </c>
      <c r="E51" s="224"/>
    </row>
    <row r="52" spans="2:5" s="21" customFormat="1" ht="12.75">
      <c r="B52" s="29" t="s">
        <v>40</v>
      </c>
      <c r="C52" s="30"/>
      <c r="D52" s="224">
        <f t="shared" si="0"/>
        <v>0</v>
      </c>
      <c r="E52" s="224"/>
    </row>
    <row r="53" spans="2:5" s="21" customFormat="1" ht="12.75">
      <c r="B53" s="31" t="s">
        <v>41</v>
      </c>
      <c r="C53" s="32">
        <v>8</v>
      </c>
      <c r="D53" s="212">
        <f t="shared" si="0"/>
        <v>88.483199999999997</v>
      </c>
      <c r="E53" s="212"/>
    </row>
    <row r="54" spans="2:5" s="21" customFormat="1" ht="12.75">
      <c r="B54" s="31" t="s">
        <v>42</v>
      </c>
      <c r="C54" s="32">
        <v>3</v>
      </c>
      <c r="D54" s="212">
        <f t="shared" si="0"/>
        <v>33.181199999999997</v>
      </c>
      <c r="E54" s="212"/>
    </row>
    <row r="55" spans="2:5" s="21" customFormat="1" ht="12.75">
      <c r="B55" s="29" t="s">
        <v>43</v>
      </c>
      <c r="C55" s="30"/>
      <c r="D55" s="224">
        <f t="shared" si="0"/>
        <v>0</v>
      </c>
      <c r="E55" s="224"/>
    </row>
    <row r="56" spans="2:5" s="21" customFormat="1" ht="13.5" thickBot="1">
      <c r="B56" s="33" t="s">
        <v>44</v>
      </c>
      <c r="C56" s="34">
        <f>SUM(C48:C55)</f>
        <v>31</v>
      </c>
      <c r="D56" s="208">
        <f>SUM(D48:E55)</f>
        <v>342.87239999999997</v>
      </c>
      <c r="E56" s="208"/>
    </row>
    <row r="57" spans="2:5" s="21" customFormat="1" ht="34.5" customHeight="1">
      <c r="B57" s="211" t="s">
        <v>176</v>
      </c>
      <c r="C57" s="211"/>
      <c r="D57" s="211"/>
      <c r="E57" s="211"/>
    </row>
    <row r="58" spans="2:5" s="21" customFormat="1" ht="13.5" thickBot="1">
      <c r="B58" s="36"/>
      <c r="C58" s="35"/>
      <c r="D58" s="35"/>
      <c r="E58" s="35"/>
    </row>
    <row r="59" spans="2:5" s="21" customFormat="1" ht="13.5" thickBot="1">
      <c r="B59" s="222" t="s">
        <v>45</v>
      </c>
      <c r="C59" s="222"/>
      <c r="D59" s="222"/>
      <c r="E59" s="222"/>
    </row>
    <row r="60" spans="2:5" s="21" customFormat="1" ht="13.5" thickBot="1">
      <c r="B60" s="25" t="s">
        <v>46</v>
      </c>
      <c r="C60" s="221" t="s">
        <v>9</v>
      </c>
      <c r="D60" s="221"/>
      <c r="E60" s="221"/>
    </row>
    <row r="61" spans="2:5" s="21" customFormat="1" ht="12.75">
      <c r="B61" s="27" t="s">
        <v>47</v>
      </c>
      <c r="C61" s="216">
        <f>$C$23*0.0893</f>
        <v>98.769372000000004</v>
      </c>
      <c r="D61" s="216"/>
      <c r="E61" s="216"/>
    </row>
    <row r="62" spans="2:5" s="21" customFormat="1" ht="12.75">
      <c r="B62" s="31" t="s">
        <v>48</v>
      </c>
      <c r="C62" s="212">
        <f>$C$23*0.0298</f>
        <v>32.959992</v>
      </c>
      <c r="D62" s="212"/>
      <c r="E62" s="212"/>
    </row>
    <row r="63" spans="2:5" s="21" customFormat="1" ht="12.75">
      <c r="B63" s="37" t="s">
        <v>49</v>
      </c>
      <c r="C63" s="223">
        <f>SUM(C61:E62)</f>
        <v>131.729364</v>
      </c>
      <c r="D63" s="223"/>
      <c r="E63" s="223"/>
    </row>
    <row r="64" spans="2:5" s="21" customFormat="1" ht="12.75">
      <c r="B64" s="31" t="s">
        <v>50</v>
      </c>
      <c r="C64" s="212">
        <f>C63*(C56/100)</f>
        <v>40.836102840000002</v>
      </c>
      <c r="D64" s="212"/>
      <c r="E64" s="212"/>
    </row>
    <row r="65" spans="2:5" s="21" customFormat="1" ht="13.5" thickBot="1">
      <c r="B65" s="33" t="s">
        <v>44</v>
      </c>
      <c r="C65" s="208">
        <f>SUM(C63:E64)</f>
        <v>172.56546684</v>
      </c>
      <c r="D65" s="208"/>
      <c r="E65" s="208"/>
    </row>
    <row r="66" spans="2:5" s="21" customFormat="1" ht="13.5" thickBot="1">
      <c r="B66" s="36"/>
      <c r="C66" s="35"/>
      <c r="D66" s="35"/>
      <c r="E66" s="35"/>
    </row>
    <row r="67" spans="2:5" s="21" customFormat="1" ht="13.5" thickBot="1">
      <c r="B67" s="222" t="s">
        <v>51</v>
      </c>
      <c r="C67" s="222"/>
      <c r="D67" s="222"/>
      <c r="E67" s="222"/>
    </row>
    <row r="68" spans="2:5" s="21" customFormat="1" ht="13.5" thickBot="1">
      <c r="B68" s="25" t="s">
        <v>52</v>
      </c>
      <c r="C68" s="221" t="s">
        <v>9</v>
      </c>
      <c r="D68" s="221"/>
      <c r="E68" s="221"/>
    </row>
    <row r="69" spans="2:5" s="21" customFormat="1" ht="12.75">
      <c r="B69" s="27" t="s">
        <v>53</v>
      </c>
      <c r="C69" s="216">
        <f>((C61/12)+(C62/12)+D48+D53+C32)*4*0.05*0.06</f>
        <v>3.8480237640000001</v>
      </c>
      <c r="D69" s="216"/>
      <c r="E69" s="216"/>
    </row>
    <row r="70" spans="2:5" s="21" customFormat="1" ht="12.75">
      <c r="B70" s="31" t="s">
        <v>54</v>
      </c>
      <c r="C70" s="212">
        <f>C69*(C56/100)</f>
        <v>1.19288736684</v>
      </c>
      <c r="D70" s="212"/>
      <c r="E70" s="212"/>
    </row>
    <row r="71" spans="2:5" s="21" customFormat="1" ht="13.5" thickBot="1">
      <c r="B71" s="33" t="s">
        <v>44</v>
      </c>
      <c r="C71" s="208">
        <f>SUM(C69:E70)</f>
        <v>5.0409111308399996</v>
      </c>
      <c r="D71" s="208"/>
      <c r="E71" s="208"/>
    </row>
    <row r="72" spans="2:5" s="21" customFormat="1" ht="13.5" thickBot="1">
      <c r="B72" s="36"/>
      <c r="C72" s="35"/>
      <c r="D72" s="35"/>
      <c r="E72" s="35"/>
    </row>
    <row r="73" spans="2:5" s="21" customFormat="1" ht="13.5" thickBot="1">
      <c r="B73" s="222" t="s">
        <v>55</v>
      </c>
      <c r="C73" s="222"/>
      <c r="D73" s="222"/>
      <c r="E73" s="222"/>
    </row>
    <row r="74" spans="2:5" s="21" customFormat="1" ht="13.5" thickBot="1">
      <c r="B74" s="25" t="s">
        <v>56</v>
      </c>
      <c r="C74" s="221" t="s">
        <v>9</v>
      </c>
      <c r="D74" s="221"/>
      <c r="E74" s="221"/>
    </row>
    <row r="75" spans="2:5" s="21" customFormat="1" ht="12.75">
      <c r="B75" s="27" t="s">
        <v>57</v>
      </c>
      <c r="C75" s="216">
        <f>C23*0.00417</f>
        <v>4.6121867999999999</v>
      </c>
      <c r="D75" s="216"/>
      <c r="E75" s="216"/>
    </row>
    <row r="76" spans="2:5" s="21" customFormat="1" ht="12.75">
      <c r="B76" s="31" t="s">
        <v>58</v>
      </c>
      <c r="C76" s="212">
        <f>C75*(C56/100)</f>
        <v>1.4297779079999999</v>
      </c>
      <c r="D76" s="212"/>
      <c r="E76" s="212"/>
    </row>
    <row r="77" spans="2:5" s="21" customFormat="1" ht="12.75">
      <c r="B77" s="31" t="s">
        <v>59</v>
      </c>
      <c r="C77" s="212">
        <f>$C$23*(0.08*0.5*0.05)</f>
        <v>2.2120799999999998</v>
      </c>
      <c r="D77" s="212"/>
      <c r="E77" s="212"/>
    </row>
    <row r="78" spans="2:5" s="21" customFormat="1" ht="12.75">
      <c r="B78" s="31" t="s">
        <v>60</v>
      </c>
      <c r="C78" s="212">
        <f>C23*0.01944</f>
        <v>21.501417600000003</v>
      </c>
      <c r="D78" s="212"/>
      <c r="E78" s="212"/>
    </row>
    <row r="79" spans="2:5" s="21" customFormat="1" ht="12.75">
      <c r="B79" s="31" t="s">
        <v>61</v>
      </c>
      <c r="C79" s="212">
        <f>C78*(C56/100)</f>
        <v>6.6654394560000014</v>
      </c>
      <c r="D79" s="212"/>
      <c r="E79" s="212"/>
    </row>
    <row r="80" spans="2:5" s="21" customFormat="1" ht="12.75">
      <c r="B80" s="31" t="s">
        <v>62</v>
      </c>
      <c r="C80" s="212">
        <f>$C$23*(0.08*0.5)</f>
        <v>44.241599999999998</v>
      </c>
      <c r="D80" s="212"/>
      <c r="E80" s="212"/>
    </row>
    <row r="81" spans="1:9" s="21" customFormat="1" ht="13.5" thickBot="1">
      <c r="B81" s="33" t="s">
        <v>44</v>
      </c>
      <c r="C81" s="208">
        <f>SUM(C75:E80)</f>
        <v>80.662501764000012</v>
      </c>
      <c r="D81" s="208"/>
      <c r="E81" s="208"/>
    </row>
    <row r="82" spans="1:9" s="21" customFormat="1" ht="13.5" thickBot="1">
      <c r="B82" s="36"/>
      <c r="C82" s="35"/>
      <c r="D82" s="35"/>
      <c r="E82" s="35"/>
    </row>
    <row r="83" spans="1:9" s="21" customFormat="1" ht="13.5" thickBot="1">
      <c r="B83" s="222" t="s">
        <v>63</v>
      </c>
      <c r="C83" s="222"/>
      <c r="D83" s="222"/>
      <c r="E83" s="222"/>
    </row>
    <row r="84" spans="1:9" s="21" customFormat="1" ht="13.5" thickBot="1">
      <c r="B84" s="25" t="s">
        <v>64</v>
      </c>
      <c r="C84" s="220" t="s">
        <v>9</v>
      </c>
      <c r="D84" s="220"/>
      <c r="E84" s="220"/>
    </row>
    <row r="85" spans="1:9" s="38" customFormat="1" ht="12.75">
      <c r="B85" s="39" t="s">
        <v>65</v>
      </c>
      <c r="C85" s="216">
        <f>C23*0.0893</f>
        <v>98.769372000000004</v>
      </c>
      <c r="D85" s="216"/>
      <c r="E85" s="216"/>
      <c r="H85" s="21"/>
    </row>
    <row r="86" spans="1:9" s="21" customFormat="1" ht="15">
      <c r="B86" s="31" t="s">
        <v>66</v>
      </c>
      <c r="C86" s="212">
        <f>C23*0.0166</f>
        <v>18.360264000000001</v>
      </c>
      <c r="D86" s="212"/>
      <c r="E86" s="212"/>
      <c r="I86" s="150" t="s">
        <v>175</v>
      </c>
    </row>
    <row r="87" spans="1:9" s="21" customFormat="1" ht="12.75">
      <c r="B87" s="31" t="s">
        <v>67</v>
      </c>
      <c r="C87" s="212">
        <f>C23*0.0002</f>
        <v>0.22120800000000002</v>
      </c>
      <c r="D87" s="212"/>
      <c r="E87" s="212"/>
    </row>
    <row r="88" spans="1:9" s="21" customFormat="1" ht="12.75">
      <c r="B88" s="31" t="s">
        <v>68</v>
      </c>
      <c r="C88" s="212">
        <f>C23*0.0073</f>
        <v>8.0740920000000003</v>
      </c>
      <c r="D88" s="212"/>
      <c r="E88" s="212"/>
    </row>
    <row r="89" spans="1:9" s="21" customFormat="1" ht="12.75">
      <c r="B89" s="31" t="s">
        <v>69</v>
      </c>
      <c r="C89" s="212">
        <f>C23*0.0003</f>
        <v>0.331812</v>
      </c>
      <c r="D89" s="212"/>
      <c r="E89" s="212"/>
    </row>
    <row r="90" spans="1:9" s="21" customFormat="1" ht="12.75">
      <c r="B90" s="40" t="s">
        <v>70</v>
      </c>
      <c r="C90" s="212">
        <v>0</v>
      </c>
      <c r="D90" s="212"/>
      <c r="E90" s="212"/>
      <c r="H90" s="38"/>
    </row>
    <row r="91" spans="1:9" s="21" customFormat="1" ht="12.75">
      <c r="A91" s="41"/>
      <c r="B91" s="31" t="s">
        <v>71</v>
      </c>
      <c r="C91" s="212">
        <f>SUM(C85:E90)*(C56/100)</f>
        <v>38.984591880000004</v>
      </c>
      <c r="D91" s="212"/>
      <c r="E91" s="212"/>
      <c r="H91" s="38"/>
    </row>
    <row r="92" spans="1:9" s="21" customFormat="1" ht="13.5" thickBot="1">
      <c r="A92" s="41"/>
      <c r="B92" s="33" t="s">
        <v>44</v>
      </c>
      <c r="C92" s="208">
        <f>SUM(C85:E91)</f>
        <v>164.74133988</v>
      </c>
      <c r="D92" s="208"/>
      <c r="E92" s="208"/>
      <c r="H92" s="38"/>
    </row>
    <row r="93" spans="1:9" s="38" customFormat="1" ht="16.5" thickBot="1">
      <c r="B93" s="42"/>
    </row>
    <row r="94" spans="1:9" s="38" customFormat="1" ht="13.5" thickBot="1">
      <c r="B94" s="219" t="s">
        <v>72</v>
      </c>
      <c r="C94" s="219"/>
      <c r="D94" s="219"/>
      <c r="E94" s="219"/>
    </row>
    <row r="95" spans="1:9" s="38" customFormat="1" ht="13.5" thickBot="1">
      <c r="B95" s="43" t="s">
        <v>73</v>
      </c>
      <c r="C95" s="215" t="s">
        <v>9</v>
      </c>
      <c r="D95" s="215"/>
      <c r="E95" s="215"/>
    </row>
    <row r="96" spans="1:9" s="38" customFormat="1" ht="12.75">
      <c r="B96" s="39" t="s">
        <v>74</v>
      </c>
      <c r="C96" s="216">
        <f>D56</f>
        <v>342.87239999999997</v>
      </c>
      <c r="D96" s="216"/>
      <c r="E96" s="216"/>
    </row>
    <row r="97" spans="2:5" s="38" customFormat="1" ht="12.75">
      <c r="B97" s="44" t="s">
        <v>75</v>
      </c>
      <c r="C97" s="212">
        <f>C65</f>
        <v>172.56546684</v>
      </c>
      <c r="D97" s="212"/>
      <c r="E97" s="212"/>
    </row>
    <row r="98" spans="2:5" s="38" customFormat="1" ht="12.75">
      <c r="B98" s="44" t="s">
        <v>76</v>
      </c>
      <c r="C98" s="212">
        <f>C71</f>
        <v>5.0409111308399996</v>
      </c>
      <c r="D98" s="212"/>
      <c r="E98" s="212"/>
    </row>
    <row r="99" spans="2:5" s="38" customFormat="1" ht="12.75">
      <c r="B99" s="44" t="s">
        <v>77</v>
      </c>
      <c r="C99" s="212">
        <f>C81</f>
        <v>80.662501764000012</v>
      </c>
      <c r="D99" s="212"/>
      <c r="E99" s="212"/>
    </row>
    <row r="100" spans="2:5" s="38" customFormat="1" ht="12.75">
      <c r="B100" s="44" t="s">
        <v>78</v>
      </c>
      <c r="C100" s="212">
        <f>C92</f>
        <v>164.74133988</v>
      </c>
      <c r="D100" s="212"/>
      <c r="E100" s="212"/>
    </row>
    <row r="101" spans="2:5" s="38" customFormat="1" ht="12.75">
      <c r="B101" s="44" t="s">
        <v>79</v>
      </c>
      <c r="C101" s="212"/>
      <c r="D101" s="212"/>
      <c r="E101" s="212"/>
    </row>
    <row r="102" spans="2:5" s="38" customFormat="1" ht="13.5" thickBot="1">
      <c r="B102" s="45" t="s">
        <v>44</v>
      </c>
      <c r="C102" s="208">
        <f>SUM(C96:E101)</f>
        <v>765.88261961484</v>
      </c>
      <c r="D102" s="208"/>
      <c r="E102" s="208"/>
    </row>
    <row r="103" spans="2:5" s="38" customFormat="1" ht="16.5" thickBot="1">
      <c r="B103" s="42"/>
    </row>
    <row r="104" spans="2:5" s="38" customFormat="1" ht="13.5" thickBot="1">
      <c r="B104" s="218" t="s">
        <v>80</v>
      </c>
      <c r="C104" s="218"/>
      <c r="D104" s="218"/>
      <c r="E104" s="218"/>
    </row>
    <row r="105" spans="2:5" s="38" customFormat="1" ht="13.5" thickBot="1">
      <c r="B105" s="43" t="s">
        <v>81</v>
      </c>
      <c r="C105" s="46" t="s">
        <v>35</v>
      </c>
      <c r="D105" s="215" t="s">
        <v>9</v>
      </c>
      <c r="E105" s="215"/>
    </row>
    <row r="106" spans="2:5" s="38" customFormat="1" ht="12.75">
      <c r="B106" s="39" t="s">
        <v>82</v>
      </c>
      <c r="C106" s="47">
        <v>2</v>
      </c>
      <c r="D106" s="216">
        <f>(C102+C43+C34+C23)*C106/100</f>
        <v>45.272452392296799</v>
      </c>
      <c r="E106" s="216"/>
    </row>
    <row r="107" spans="2:5" s="38" customFormat="1" ht="12.75">
      <c r="B107" s="44" t="s">
        <v>83</v>
      </c>
      <c r="C107" s="48"/>
      <c r="D107" s="212"/>
      <c r="E107" s="212"/>
    </row>
    <row r="108" spans="2:5" s="38" customFormat="1" ht="12.75">
      <c r="B108" s="44" t="s">
        <v>214</v>
      </c>
      <c r="C108" s="48">
        <v>9.94</v>
      </c>
      <c r="D108" s="212">
        <f>((C102+C43+C34+C23+D106+D112)/(1-(C108+C110)/100))*(C108/100)</f>
        <v>275.21073778586822</v>
      </c>
      <c r="E108" s="212"/>
    </row>
    <row r="109" spans="2:5" s="38" customFormat="1" ht="12.75">
      <c r="B109" s="44" t="s">
        <v>84</v>
      </c>
      <c r="C109" s="48"/>
      <c r="D109" s="212"/>
      <c r="E109" s="212"/>
    </row>
    <row r="110" spans="2:5" s="38" customFormat="1" ht="12.75">
      <c r="B110" s="44" t="s">
        <v>213</v>
      </c>
      <c r="C110" s="48">
        <v>5</v>
      </c>
      <c r="D110" s="212">
        <f>((C102+C43+C34+C23+D106+D112)/(1-(C108+C110)/100))*(C110/100)</f>
        <v>138.43598480174461</v>
      </c>
      <c r="E110" s="212"/>
    </row>
    <row r="111" spans="2:5" s="38" customFormat="1" ht="12.75">
      <c r="B111" s="44" t="s">
        <v>85</v>
      </c>
      <c r="C111" s="48"/>
      <c r="D111" s="212"/>
      <c r="E111" s="212"/>
    </row>
    <row r="112" spans="2:5" s="38" customFormat="1" ht="12.75">
      <c r="B112" s="44" t="s">
        <v>86</v>
      </c>
      <c r="C112" s="48">
        <v>2</v>
      </c>
      <c r="D112" s="212">
        <f>(C102+C43+C34+C23+D106)*C112/100</f>
        <v>46.177901440142733</v>
      </c>
      <c r="E112" s="212"/>
    </row>
    <row r="113" spans="2:17" s="38" customFormat="1" ht="13.5" thickBot="1">
      <c r="B113" s="45" t="s">
        <v>44</v>
      </c>
      <c r="C113" s="49">
        <f>SUM(C106:C112)</f>
        <v>18.939999999999998</v>
      </c>
      <c r="D113" s="208">
        <f>SUM(D106:E112)</f>
        <v>505.09707642005242</v>
      </c>
      <c r="E113" s="208"/>
    </row>
    <row r="114" spans="2:17" s="38" customFormat="1" ht="31.5" customHeight="1">
      <c r="B114" s="211" t="s">
        <v>174</v>
      </c>
      <c r="C114" s="211"/>
      <c r="D114" s="211"/>
      <c r="E114" s="211"/>
    </row>
    <row r="115" spans="2:17" s="38" customFormat="1" ht="12.75">
      <c r="B115" s="209" t="s">
        <v>87</v>
      </c>
      <c r="C115" s="209"/>
      <c r="D115" s="209"/>
      <c r="E115" s="209"/>
    </row>
    <row r="116" spans="2:17" s="38" customFormat="1" ht="12.75">
      <c r="B116" s="210" t="s">
        <v>88</v>
      </c>
      <c r="C116" s="210"/>
      <c r="D116" s="210"/>
      <c r="E116" s="210"/>
    </row>
    <row r="117" spans="2:17" s="38" customFormat="1" ht="16.5" thickBot="1">
      <c r="B117" s="42"/>
    </row>
    <row r="118" spans="2:17" s="38" customFormat="1" ht="13.5" thickBot="1">
      <c r="B118" s="43" t="s">
        <v>89</v>
      </c>
      <c r="C118" s="215" t="s">
        <v>9</v>
      </c>
      <c r="D118" s="215"/>
      <c r="E118" s="215"/>
    </row>
    <row r="119" spans="2:17" s="38" customFormat="1" ht="12.75">
      <c r="B119" s="39" t="s">
        <v>90</v>
      </c>
      <c r="C119" s="216">
        <f>C23</f>
        <v>1106.04</v>
      </c>
      <c r="D119" s="216"/>
      <c r="E119" s="216"/>
    </row>
    <row r="120" spans="2:17" s="38" customFormat="1" ht="12.75">
      <c r="B120" s="44" t="s">
        <v>91</v>
      </c>
      <c r="C120" s="212">
        <f>C34</f>
        <v>391.7</v>
      </c>
      <c r="D120" s="212"/>
      <c r="E120" s="212"/>
    </row>
    <row r="121" spans="2:17" s="38" customFormat="1" ht="12.75">
      <c r="B121" s="44" t="s">
        <v>92</v>
      </c>
      <c r="C121" s="212">
        <f>C43</f>
        <v>0</v>
      </c>
      <c r="D121" s="212"/>
      <c r="E121" s="212"/>
    </row>
    <row r="122" spans="2:17" s="38" customFormat="1" ht="12.75">
      <c r="B122" s="44" t="s">
        <v>93</v>
      </c>
      <c r="C122" s="212">
        <f>C102</f>
        <v>765.88261961484</v>
      </c>
      <c r="D122" s="212"/>
      <c r="E122" s="212"/>
    </row>
    <row r="123" spans="2:17" s="38" customFormat="1" ht="12.75">
      <c r="B123" s="50" t="s">
        <v>94</v>
      </c>
      <c r="C123" s="217">
        <f>SUM(C119:E122)</f>
        <v>2263.62261961484</v>
      </c>
      <c r="D123" s="217"/>
      <c r="E123" s="217"/>
    </row>
    <row r="124" spans="2:17" s="38" customFormat="1" ht="12.75">
      <c r="B124" s="44" t="s">
        <v>95</v>
      </c>
      <c r="C124" s="212">
        <f>D113</f>
        <v>505.09707642005242</v>
      </c>
      <c r="D124" s="212"/>
      <c r="E124" s="212"/>
    </row>
    <row r="125" spans="2:17" s="38" customFormat="1" ht="13.5" thickBot="1">
      <c r="B125" s="45" t="s">
        <v>96</v>
      </c>
      <c r="C125" s="213">
        <f>SUM(C123:E124)</f>
        <v>2768.7196960348924</v>
      </c>
      <c r="D125" s="213"/>
      <c r="E125" s="213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2:17" s="38" customFormat="1" ht="13.5" thickBot="1">
      <c r="B126" s="51" t="s">
        <v>97</v>
      </c>
      <c r="C126" s="214">
        <f>C125/C23</f>
        <v>2.5032726628647177</v>
      </c>
      <c r="D126" s="214"/>
      <c r="E126" s="214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2:17" s="38" customFormat="1" ht="15.75">
      <c r="B127" s="42"/>
      <c r="H127" s="1"/>
      <c r="I127" s="1"/>
      <c r="J127" s="1"/>
      <c r="K127" s="1"/>
      <c r="L127" s="1"/>
      <c r="M127" s="1"/>
      <c r="N127" s="1"/>
      <c r="O127" s="1"/>
      <c r="P127" s="1"/>
      <c r="Q127" s="1"/>
    </row>
  </sheetData>
  <mergeCells count="115">
    <mergeCell ref="C122:E122"/>
    <mergeCell ref="C123:E123"/>
    <mergeCell ref="C124:E124"/>
    <mergeCell ref="C125:E125"/>
    <mergeCell ref="C126:E126"/>
    <mergeCell ref="B115:E115"/>
    <mergeCell ref="B116:E116"/>
    <mergeCell ref="C118:E118"/>
    <mergeCell ref="C119:E119"/>
    <mergeCell ref="C120:E120"/>
    <mergeCell ref="C121:E121"/>
    <mergeCell ref="D108:E108"/>
    <mergeCell ref="D109:E109"/>
    <mergeCell ref="D110:E110"/>
    <mergeCell ref="D111:E111"/>
    <mergeCell ref="D112:E112"/>
    <mergeCell ref="D113:E113"/>
    <mergeCell ref="B114:E114"/>
    <mergeCell ref="C101:E101"/>
    <mergeCell ref="C102:E102"/>
    <mergeCell ref="B104:E104"/>
    <mergeCell ref="D105:E105"/>
    <mergeCell ref="D106:E106"/>
    <mergeCell ref="D107:E107"/>
    <mergeCell ref="C95:E95"/>
    <mergeCell ref="C96:E96"/>
    <mergeCell ref="C97:E97"/>
    <mergeCell ref="C98:E98"/>
    <mergeCell ref="C99:E99"/>
    <mergeCell ref="C100:E100"/>
    <mergeCell ref="C88:E88"/>
    <mergeCell ref="C89:E89"/>
    <mergeCell ref="C90:E90"/>
    <mergeCell ref="C91:E91"/>
    <mergeCell ref="C92:E92"/>
    <mergeCell ref="B94:E94"/>
    <mergeCell ref="C81:E81"/>
    <mergeCell ref="B83:E83"/>
    <mergeCell ref="C84:E84"/>
    <mergeCell ref="C85:E85"/>
    <mergeCell ref="C86:E86"/>
    <mergeCell ref="C87:E87"/>
    <mergeCell ref="C75:E75"/>
    <mergeCell ref="C76:E76"/>
    <mergeCell ref="C77:E77"/>
    <mergeCell ref="C78:E78"/>
    <mergeCell ref="C79:E79"/>
    <mergeCell ref="C80:E80"/>
    <mergeCell ref="C68:E68"/>
    <mergeCell ref="C69:E69"/>
    <mergeCell ref="C70:E70"/>
    <mergeCell ref="C71:E71"/>
    <mergeCell ref="B73:E73"/>
    <mergeCell ref="C74:E74"/>
    <mergeCell ref="C61:E61"/>
    <mergeCell ref="C62:E62"/>
    <mergeCell ref="C63:E63"/>
    <mergeCell ref="C64:E64"/>
    <mergeCell ref="C65:E65"/>
    <mergeCell ref="B67:E67"/>
    <mergeCell ref="D53:E53"/>
    <mergeCell ref="D54:E54"/>
    <mergeCell ref="D55:E55"/>
    <mergeCell ref="D56:E56"/>
    <mergeCell ref="B59:E59"/>
    <mergeCell ref="C60:E60"/>
    <mergeCell ref="B57:E57"/>
    <mergeCell ref="D47:E47"/>
    <mergeCell ref="D48:E48"/>
    <mergeCell ref="D49:E49"/>
    <mergeCell ref="D50:E50"/>
    <mergeCell ref="D51:E51"/>
    <mergeCell ref="D52:E52"/>
    <mergeCell ref="C41:E41"/>
    <mergeCell ref="C42:E42"/>
    <mergeCell ref="C43:E43"/>
    <mergeCell ref="B44:E44"/>
    <mergeCell ref="B45:E45"/>
    <mergeCell ref="B46:E46"/>
    <mergeCell ref="B35:E35"/>
    <mergeCell ref="B36:E36"/>
    <mergeCell ref="C37:E37"/>
    <mergeCell ref="C38:E38"/>
    <mergeCell ref="C39:E39"/>
    <mergeCell ref="C40:E40"/>
    <mergeCell ref="C29:E29"/>
    <mergeCell ref="C30:E30"/>
    <mergeCell ref="C31:E31"/>
    <mergeCell ref="C32:E32"/>
    <mergeCell ref="C33:E33"/>
    <mergeCell ref="C34:E34"/>
    <mergeCell ref="C23:E23"/>
    <mergeCell ref="B24:E24"/>
    <mergeCell ref="B25:E25"/>
    <mergeCell ref="C26:E26"/>
    <mergeCell ref="C27:E27"/>
    <mergeCell ref="C28:E28"/>
    <mergeCell ref="C20:E20"/>
    <mergeCell ref="C21:E21"/>
    <mergeCell ref="C22:E22"/>
    <mergeCell ref="C9:E9"/>
    <mergeCell ref="C10:E10"/>
    <mergeCell ref="B13:E13"/>
    <mergeCell ref="C14:E14"/>
    <mergeCell ref="C15:E15"/>
    <mergeCell ref="C16:E16"/>
    <mergeCell ref="B1:E1"/>
    <mergeCell ref="C3:E3"/>
    <mergeCell ref="C4:E4"/>
    <mergeCell ref="C6:E6"/>
    <mergeCell ref="C7:E7"/>
    <mergeCell ref="C8:E8"/>
    <mergeCell ref="C17:E17"/>
    <mergeCell ref="C18:E18"/>
    <mergeCell ref="C19:E19"/>
  </mergeCells>
  <pageMargins left="0.511811024" right="0.511811024" top="0.78740157499999996" bottom="0.78740157499999996" header="0.31496062000000002" footer="0.31496062000000002"/>
  <pageSetup paperSize="9" scale="86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1"/>
  <sheetViews>
    <sheetView workbookViewId="0">
      <selection activeCell="B13" sqref="B13:E13"/>
    </sheetView>
  </sheetViews>
  <sheetFormatPr defaultRowHeight="12.75"/>
  <cols>
    <col min="1" max="1" width="5.42578125" style="162" bestFit="1" customWidth="1"/>
    <col min="2" max="2" width="17.28515625" style="163" bestFit="1" customWidth="1"/>
    <col min="3" max="3" width="22.85546875" style="163" bestFit="1" customWidth="1"/>
    <col min="4" max="4" width="31" bestFit="1" customWidth="1"/>
    <col min="5" max="5" width="23.7109375" style="164" customWidth="1"/>
    <col min="6" max="6" width="20.5703125" style="165" bestFit="1" customWidth="1"/>
  </cols>
  <sheetData>
    <row r="1" spans="1:6" ht="20.100000000000001" customHeight="1">
      <c r="A1" s="246" t="s">
        <v>190</v>
      </c>
      <c r="B1" s="246"/>
      <c r="C1" s="246"/>
      <c r="D1" s="246"/>
      <c r="E1" s="246"/>
      <c r="F1" s="246"/>
    </row>
    <row r="2" spans="1:6" ht="20.100000000000001" customHeight="1">
      <c r="A2" s="246" t="s">
        <v>196</v>
      </c>
      <c r="B2" s="246"/>
      <c r="C2" s="246"/>
      <c r="D2" s="246"/>
      <c r="E2" s="246"/>
      <c r="F2" s="246"/>
    </row>
    <row r="3" spans="1:6" ht="24.95" customHeight="1">
      <c r="A3" s="151" t="s">
        <v>179</v>
      </c>
      <c r="B3" s="152" t="s">
        <v>180</v>
      </c>
      <c r="C3" s="152" t="s">
        <v>181</v>
      </c>
      <c r="D3" s="153" t="s">
        <v>182</v>
      </c>
      <c r="E3" s="154" t="s">
        <v>183</v>
      </c>
      <c r="F3" s="155" t="s">
        <v>184</v>
      </c>
    </row>
    <row r="4" spans="1:6" ht="24.95" customHeight="1">
      <c r="A4" s="156">
        <v>1</v>
      </c>
      <c r="B4" s="157">
        <f>'[1]Áreas Internas'!C63</f>
        <v>7607.5400000000018</v>
      </c>
      <c r="C4" s="157">
        <v>3110.4194206349216</v>
      </c>
      <c r="D4" s="158" t="s">
        <v>185</v>
      </c>
      <c r="E4" s="156">
        <v>1200</v>
      </c>
      <c r="F4" s="159">
        <f>'[2]Áreas Internas'!$I$63</f>
        <v>5.1664133201058213</v>
      </c>
    </row>
    <row r="5" spans="1:6" ht="24.95" customHeight="1">
      <c r="A5" s="156">
        <v>3</v>
      </c>
      <c r="B5" s="157">
        <f>'[1]Áreas Externas'!C7</f>
        <v>31460.71</v>
      </c>
      <c r="C5" s="157">
        <v>4494.3871428571429</v>
      </c>
      <c r="D5" s="158" t="s">
        <v>186</v>
      </c>
      <c r="E5" s="156">
        <v>2700</v>
      </c>
      <c r="F5" s="159">
        <f>'[1]Áreas Externas'!I7</f>
        <v>0.74906452380952382</v>
      </c>
    </row>
    <row r="6" spans="1:6" ht="24.95" customHeight="1">
      <c r="A6" s="156">
        <v>5</v>
      </c>
      <c r="B6" s="157">
        <f>[1]Esquadrias!C17</f>
        <v>6038</v>
      </c>
      <c r="C6" s="157">
        <v>205.23849206349203</v>
      </c>
      <c r="D6" s="158" t="s">
        <v>187</v>
      </c>
      <c r="E6" s="156">
        <v>380</v>
      </c>
      <c r="F6" s="159">
        <f>[1]Esquadrias!I17</f>
        <v>0.93290223665223648</v>
      </c>
    </row>
    <row r="7" spans="1:6" ht="24.95" customHeight="1">
      <c r="A7" s="160" t="s">
        <v>162</v>
      </c>
      <c r="B7" s="161">
        <f>SUM(B4:B6)</f>
        <v>45106.25</v>
      </c>
      <c r="C7" s="161">
        <f>SUM(C4:C6)</f>
        <v>7810.0450555555562</v>
      </c>
      <c r="D7" s="247"/>
      <c r="E7" s="248"/>
      <c r="F7" s="166">
        <f>SUM(F4:F6)</f>
        <v>6.8483800805675816</v>
      </c>
    </row>
    <row r="8" spans="1:6" ht="24.95" customHeight="1">
      <c r="A8" s="156">
        <v>7</v>
      </c>
      <c r="B8" s="249" t="s">
        <v>188</v>
      </c>
      <c r="C8" s="250"/>
      <c r="D8" s="250"/>
      <c r="E8" s="251"/>
      <c r="F8" s="167">
        <v>1</v>
      </c>
    </row>
    <row r="9" spans="1:6" ht="24.95" customHeight="1">
      <c r="A9" s="247" t="s">
        <v>189</v>
      </c>
      <c r="B9" s="252"/>
      <c r="C9" s="252"/>
      <c r="D9" s="252"/>
      <c r="E9" s="248"/>
      <c r="F9" s="166">
        <f>F7+F8</f>
        <v>7.8483800805675816</v>
      </c>
    </row>
    <row r="10" spans="1:6" ht="24.95" customHeight="1"/>
    <row r="11" spans="1:6" ht="24.95" customHeight="1"/>
  </sheetData>
  <mergeCells count="5">
    <mergeCell ref="A1:F1"/>
    <mergeCell ref="A2:F2"/>
    <mergeCell ref="D7:E7"/>
    <mergeCell ref="B8:E8"/>
    <mergeCell ref="A9:E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8"/>
  <sheetViews>
    <sheetView workbookViewId="0">
      <selection activeCell="A14" sqref="A14:E14"/>
    </sheetView>
  </sheetViews>
  <sheetFormatPr defaultColWidth="9.28515625" defaultRowHeight="12.75"/>
  <cols>
    <col min="1" max="1" width="71.42578125" bestFit="1" customWidth="1"/>
    <col min="2" max="2" width="11.42578125" customWidth="1"/>
    <col min="3" max="3" width="8.28515625" customWidth="1"/>
    <col min="5" max="5" width="11.85546875" bestFit="1" customWidth="1"/>
    <col min="6" max="6" width="12.5703125" bestFit="1" customWidth="1"/>
    <col min="7" max="7" width="10.140625" bestFit="1" customWidth="1"/>
    <col min="8" max="8" width="12.7109375" bestFit="1" customWidth="1"/>
    <col min="9" max="9" width="11.85546875" bestFit="1" customWidth="1"/>
    <col min="10" max="10" width="13.28515625" bestFit="1" customWidth="1"/>
  </cols>
  <sheetData>
    <row r="1" spans="1:10" ht="24.95" customHeight="1">
      <c r="A1" s="253" t="s">
        <v>190</v>
      </c>
      <c r="B1" s="253"/>
      <c r="C1" s="253"/>
      <c r="D1" s="253"/>
      <c r="E1" s="253"/>
      <c r="F1" s="253"/>
      <c r="G1" s="253"/>
      <c r="H1" s="253"/>
      <c r="I1" s="253"/>
      <c r="J1" s="253"/>
    </row>
    <row r="2" spans="1:10" ht="24.95" customHeight="1">
      <c r="A2" s="255" t="s">
        <v>30</v>
      </c>
      <c r="B2" s="255"/>
      <c r="C2" s="255"/>
      <c r="D2" s="255"/>
      <c r="E2" s="255"/>
      <c r="F2" s="255"/>
      <c r="G2" s="255"/>
      <c r="H2" s="255"/>
      <c r="I2" s="255"/>
      <c r="J2" s="255"/>
    </row>
    <row r="3" spans="1:10" ht="52.5" customHeight="1">
      <c r="A3" s="256" t="s">
        <v>173</v>
      </c>
      <c r="B3" s="256"/>
      <c r="C3" s="256"/>
      <c r="D3" s="256"/>
      <c r="E3" s="256"/>
      <c r="F3" s="256"/>
      <c r="G3" s="256"/>
      <c r="H3" s="256"/>
      <c r="I3" s="256"/>
      <c r="J3" s="256"/>
    </row>
    <row r="4" spans="1:10" ht="38.25">
      <c r="A4" s="62" t="s">
        <v>98</v>
      </c>
      <c r="B4" s="62" t="s">
        <v>99</v>
      </c>
      <c r="C4" s="60" t="s">
        <v>100</v>
      </c>
      <c r="D4" s="60" t="s">
        <v>101</v>
      </c>
      <c r="E4" s="60" t="s">
        <v>102</v>
      </c>
      <c r="F4" s="60" t="s">
        <v>103</v>
      </c>
      <c r="G4" s="60" t="s">
        <v>104</v>
      </c>
      <c r="H4" s="60" t="s">
        <v>105</v>
      </c>
      <c r="I4" s="61" t="s">
        <v>106</v>
      </c>
      <c r="J4" s="60" t="s">
        <v>107</v>
      </c>
    </row>
    <row r="5" spans="1:10">
      <c r="A5" s="69"/>
      <c r="B5" s="91"/>
      <c r="C5" s="91"/>
      <c r="D5" s="92"/>
      <c r="E5" s="67"/>
      <c r="F5" s="67"/>
      <c r="G5" s="92"/>
      <c r="H5" s="93"/>
      <c r="I5" s="94"/>
      <c r="J5" s="195">
        <f>F5+G5+I5</f>
        <v>0</v>
      </c>
    </row>
    <row r="6" spans="1:10" ht="28.5" customHeight="1">
      <c r="A6" s="106"/>
      <c r="B6" s="71"/>
      <c r="C6" s="189"/>
      <c r="D6" s="66"/>
      <c r="E6" s="67"/>
      <c r="F6" s="67"/>
      <c r="G6" s="66"/>
      <c r="H6" s="93"/>
      <c r="I6" s="94"/>
      <c r="J6" s="195">
        <f>F6+G6+I6</f>
        <v>0</v>
      </c>
    </row>
    <row r="7" spans="1:10" ht="20.100000000000001" customHeight="1">
      <c r="A7" s="69"/>
      <c r="B7" s="71"/>
      <c r="C7" s="189"/>
      <c r="D7" s="66"/>
      <c r="E7" s="67"/>
      <c r="F7" s="67"/>
      <c r="G7" s="66"/>
      <c r="H7" s="93"/>
      <c r="I7" s="94"/>
      <c r="J7" s="195">
        <f t="shared" ref="J7:J13" si="0">F7+G7+I7</f>
        <v>0</v>
      </c>
    </row>
    <row r="8" spans="1:10" ht="20.100000000000001" customHeight="1">
      <c r="A8" s="72"/>
      <c r="B8" s="71"/>
      <c r="C8" s="189"/>
      <c r="D8" s="66"/>
      <c r="E8" s="67"/>
      <c r="F8" s="67"/>
      <c r="G8" s="66"/>
      <c r="H8" s="93"/>
      <c r="I8" s="94"/>
      <c r="J8" s="195">
        <f t="shared" si="0"/>
        <v>0</v>
      </c>
    </row>
    <row r="9" spans="1:10" ht="20.100000000000001" customHeight="1">
      <c r="A9" s="72"/>
      <c r="B9" s="71"/>
      <c r="C9" s="189"/>
      <c r="D9" s="66"/>
      <c r="E9" s="67"/>
      <c r="F9" s="67"/>
      <c r="G9" s="66"/>
      <c r="H9" s="93"/>
      <c r="I9" s="94"/>
      <c r="J9" s="195">
        <f t="shared" si="0"/>
        <v>0</v>
      </c>
    </row>
    <row r="10" spans="1:10" ht="20.100000000000001" customHeight="1">
      <c r="A10" s="72"/>
      <c r="B10" s="71"/>
      <c r="C10" s="189"/>
      <c r="D10" s="66"/>
      <c r="E10" s="67"/>
      <c r="F10" s="67"/>
      <c r="G10" s="66"/>
      <c r="H10" s="93"/>
      <c r="I10" s="94"/>
      <c r="J10" s="195">
        <f t="shared" si="0"/>
        <v>0</v>
      </c>
    </row>
    <row r="11" spans="1:10" ht="20.100000000000001" customHeight="1">
      <c r="A11" s="72"/>
      <c r="B11" s="71"/>
      <c r="C11" s="189"/>
      <c r="D11" s="66"/>
      <c r="E11" s="67"/>
      <c r="F11" s="67"/>
      <c r="G11" s="66"/>
      <c r="H11" s="93"/>
      <c r="I11" s="94"/>
      <c r="J11" s="195">
        <f t="shared" si="0"/>
        <v>0</v>
      </c>
    </row>
    <row r="12" spans="1:10" ht="20.100000000000001" customHeight="1">
      <c r="A12" s="69"/>
      <c r="B12" s="71"/>
      <c r="C12" s="189"/>
      <c r="D12" s="66"/>
      <c r="E12" s="67"/>
      <c r="F12" s="67"/>
      <c r="G12" s="66"/>
      <c r="H12" s="93"/>
      <c r="I12" s="94"/>
      <c r="J12" s="195">
        <f t="shared" si="0"/>
        <v>0</v>
      </c>
    </row>
    <row r="13" spans="1:10" ht="20.100000000000001" customHeight="1">
      <c r="A13" s="52"/>
      <c r="B13" s="52"/>
      <c r="C13" s="52"/>
      <c r="D13" s="66"/>
      <c r="E13" s="67"/>
      <c r="F13" s="67"/>
      <c r="G13" s="66"/>
      <c r="H13" s="93"/>
      <c r="I13" s="68"/>
      <c r="J13" s="95">
        <f t="shared" si="0"/>
        <v>0</v>
      </c>
    </row>
    <row r="14" spans="1:10" ht="20.100000000000001" customHeight="1">
      <c r="A14" s="254" t="s">
        <v>108</v>
      </c>
      <c r="B14" s="254"/>
      <c r="C14" s="254"/>
      <c r="D14" s="254"/>
      <c r="E14" s="254"/>
      <c r="F14" s="73"/>
      <c r="G14" s="73"/>
      <c r="H14" s="73"/>
      <c r="I14" s="108"/>
      <c r="J14" s="95">
        <f>SUM(J5:J13)</f>
        <v>0</v>
      </c>
    </row>
    <row r="15" spans="1:10" ht="20.100000000000001" customHeight="1">
      <c r="A15" s="254" t="s">
        <v>109</v>
      </c>
      <c r="B15" s="254"/>
      <c r="C15" s="254"/>
      <c r="D15" s="254"/>
      <c r="E15" s="254"/>
      <c r="F15" s="75"/>
      <c r="G15" s="75"/>
      <c r="H15" s="75"/>
      <c r="I15" s="74"/>
      <c r="J15" s="76">
        <f>J14*12</f>
        <v>0</v>
      </c>
    </row>
    <row r="16" spans="1:10" ht="20.100000000000001" customHeight="1">
      <c r="A16" s="254" t="s">
        <v>110</v>
      </c>
      <c r="B16" s="254"/>
      <c r="C16" s="254"/>
      <c r="D16" s="254"/>
      <c r="E16" s="254"/>
      <c r="F16" s="73"/>
      <c r="G16" s="73"/>
      <c r="H16" s="73"/>
      <c r="I16" s="74"/>
      <c r="J16" s="77">
        <f>J14/14</f>
        <v>0</v>
      </c>
    </row>
    <row r="17" ht="24.95" customHeight="1"/>
    <row r="18" ht="24.95" customHeight="1"/>
  </sheetData>
  <sheetProtection selectLockedCells="1" selectUnlockedCells="1"/>
  <mergeCells count="6">
    <mergeCell ref="A1:J1"/>
    <mergeCell ref="A14:E14"/>
    <mergeCell ref="A15:E15"/>
    <mergeCell ref="A2:J2"/>
    <mergeCell ref="A16:E16"/>
    <mergeCell ref="A3:J3"/>
  </mergeCells>
  <pageMargins left="0.25" right="0.25" top="0.75" bottom="0.75" header="0.3" footer="0.3"/>
  <pageSetup paperSize="9" scale="85" firstPageNumber="0" fitToHeight="0" orientation="landscape" horizontalDpi="300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5"/>
  <sheetViews>
    <sheetView workbookViewId="0">
      <selection activeCell="F5" sqref="F5:F47"/>
    </sheetView>
  </sheetViews>
  <sheetFormatPr defaultColWidth="9.28515625" defaultRowHeight="12.75"/>
  <cols>
    <col min="1" max="1" width="49" bestFit="1" customWidth="1"/>
    <col min="2" max="2" width="10.5703125" bestFit="1" customWidth="1"/>
    <col min="3" max="3" width="10" customWidth="1"/>
    <col min="4" max="4" width="9.42578125" customWidth="1"/>
    <col min="5" max="5" width="8.140625" bestFit="1" customWidth="1"/>
    <col min="6" max="6" width="8.5703125" bestFit="1" customWidth="1"/>
    <col min="7" max="7" width="8.28515625" bestFit="1" customWidth="1"/>
  </cols>
  <sheetData>
    <row r="1" spans="1:9" ht="24.95" customHeight="1">
      <c r="A1" s="253" t="s">
        <v>190</v>
      </c>
      <c r="B1" s="253"/>
      <c r="C1" s="253"/>
      <c r="D1" s="253"/>
      <c r="E1" s="253"/>
      <c r="F1" s="253"/>
      <c r="G1" s="253"/>
    </row>
    <row r="2" spans="1:9" ht="24.95" customHeight="1">
      <c r="A2" s="255" t="s">
        <v>154</v>
      </c>
      <c r="B2" s="255"/>
      <c r="C2" s="255"/>
      <c r="D2" s="255"/>
      <c r="E2" s="255"/>
      <c r="F2" s="255"/>
      <c r="G2" s="255"/>
    </row>
    <row r="3" spans="1:9" ht="81" customHeight="1">
      <c r="A3" s="263" t="s">
        <v>172</v>
      </c>
      <c r="B3" s="264"/>
      <c r="C3" s="264"/>
      <c r="D3" s="264"/>
      <c r="E3" s="264"/>
      <c r="F3" s="264"/>
      <c r="G3" s="265"/>
      <c r="H3" s="135"/>
      <c r="I3" s="135"/>
    </row>
    <row r="4" spans="1:9" ht="25.5">
      <c r="A4" s="141" t="s">
        <v>111</v>
      </c>
      <c r="B4" s="141" t="s">
        <v>112</v>
      </c>
      <c r="C4" s="142" t="s">
        <v>113</v>
      </c>
      <c r="D4" s="142" t="s">
        <v>118</v>
      </c>
      <c r="E4" s="142" t="s">
        <v>100</v>
      </c>
      <c r="F4" s="142" t="s">
        <v>101</v>
      </c>
      <c r="G4" s="142" t="s">
        <v>114</v>
      </c>
      <c r="H4" s="59"/>
      <c r="I4" s="59"/>
    </row>
    <row r="5" spans="1:9" ht="20.100000000000001" customHeight="1">
      <c r="A5" s="136"/>
      <c r="B5" s="137" t="s">
        <v>115</v>
      </c>
      <c r="C5" s="146"/>
      <c r="D5" s="138"/>
      <c r="E5" s="139"/>
      <c r="F5" s="140"/>
      <c r="G5" s="140">
        <f>F5*C5</f>
        <v>0</v>
      </c>
      <c r="H5" s="59"/>
      <c r="I5" s="59"/>
    </row>
    <row r="6" spans="1:9" ht="20.100000000000001" customHeight="1">
      <c r="A6" s="63"/>
      <c r="B6" s="64" t="s">
        <v>115</v>
      </c>
      <c r="C6" s="147"/>
      <c r="D6" s="65"/>
      <c r="E6" s="109"/>
      <c r="F6" s="53"/>
      <c r="G6" s="53">
        <f t="shared" ref="G6:G48" si="0">F6*C6</f>
        <v>0</v>
      </c>
      <c r="H6" s="59"/>
      <c r="I6" s="59"/>
    </row>
    <row r="7" spans="1:9" ht="20.100000000000001" customHeight="1">
      <c r="A7" s="63"/>
      <c r="B7" s="64" t="s">
        <v>132</v>
      </c>
      <c r="C7" s="147"/>
      <c r="D7" s="65"/>
      <c r="E7" s="109"/>
      <c r="F7" s="53"/>
      <c r="G7" s="53">
        <f t="shared" si="0"/>
        <v>0</v>
      </c>
      <c r="H7" s="59"/>
      <c r="I7" s="59"/>
    </row>
    <row r="8" spans="1:9" ht="20.100000000000001" customHeight="1">
      <c r="A8" s="63"/>
      <c r="B8" s="64" t="s">
        <v>132</v>
      </c>
      <c r="C8" s="147"/>
      <c r="D8" s="65"/>
      <c r="E8" s="109"/>
      <c r="F8" s="53"/>
      <c r="G8" s="53">
        <f t="shared" si="0"/>
        <v>0</v>
      </c>
      <c r="H8" s="59"/>
      <c r="I8" s="59"/>
    </row>
    <row r="9" spans="1:9" ht="20.100000000000001" customHeight="1">
      <c r="A9" s="63"/>
      <c r="B9" s="64" t="s">
        <v>133</v>
      </c>
      <c r="C9" s="147"/>
      <c r="D9" s="65"/>
      <c r="E9" s="109"/>
      <c r="F9" s="53"/>
      <c r="G9" s="53">
        <f t="shared" si="0"/>
        <v>0</v>
      </c>
      <c r="H9" s="59"/>
      <c r="I9" s="59"/>
    </row>
    <row r="10" spans="1:9" ht="20.100000000000001" customHeight="1">
      <c r="A10" s="63"/>
      <c r="B10" s="64" t="s">
        <v>134</v>
      </c>
      <c r="C10" s="147"/>
      <c r="D10" s="65"/>
      <c r="E10" s="109"/>
      <c r="F10" s="53"/>
      <c r="G10" s="53">
        <f t="shared" si="0"/>
        <v>0</v>
      </c>
      <c r="H10" s="59"/>
      <c r="I10" s="59"/>
    </row>
    <row r="11" spans="1:9" ht="20.100000000000001" customHeight="1">
      <c r="A11" s="63"/>
      <c r="B11" s="64" t="s">
        <v>133</v>
      </c>
      <c r="C11" s="147"/>
      <c r="D11" s="65"/>
      <c r="E11" s="109"/>
      <c r="F11" s="53"/>
      <c r="G11" s="53">
        <f t="shared" si="0"/>
        <v>0</v>
      </c>
      <c r="H11" s="59"/>
      <c r="I11" s="59"/>
    </row>
    <row r="12" spans="1:9" ht="20.100000000000001" customHeight="1">
      <c r="A12" s="63"/>
      <c r="B12" s="64" t="s">
        <v>133</v>
      </c>
      <c r="C12" s="147"/>
      <c r="D12" s="65"/>
      <c r="E12" s="109"/>
      <c r="F12" s="53"/>
      <c r="G12" s="53">
        <f t="shared" si="0"/>
        <v>0</v>
      </c>
      <c r="H12" s="59"/>
      <c r="I12" s="59"/>
    </row>
    <row r="13" spans="1:9" ht="20.100000000000001" customHeight="1">
      <c r="A13" s="63"/>
      <c r="B13" s="64" t="s">
        <v>133</v>
      </c>
      <c r="C13" s="147"/>
      <c r="D13" s="65"/>
      <c r="E13" s="109"/>
      <c r="F13" s="53"/>
      <c r="G13" s="53">
        <f t="shared" si="0"/>
        <v>0</v>
      </c>
      <c r="H13" s="59"/>
      <c r="I13" s="59"/>
    </row>
    <row r="14" spans="1:9" ht="20.100000000000001" customHeight="1">
      <c r="A14" s="63"/>
      <c r="B14" s="64" t="s">
        <v>133</v>
      </c>
      <c r="C14" s="147"/>
      <c r="D14" s="65"/>
      <c r="E14" s="109"/>
      <c r="F14" s="53"/>
      <c r="G14" s="53">
        <f t="shared" si="0"/>
        <v>0</v>
      </c>
      <c r="H14" s="59"/>
      <c r="I14" s="59"/>
    </row>
    <row r="15" spans="1:9" ht="20.100000000000001" customHeight="1">
      <c r="A15" s="63"/>
      <c r="B15" s="64" t="s">
        <v>132</v>
      </c>
      <c r="C15" s="147"/>
      <c r="D15" s="65"/>
      <c r="E15" s="109"/>
      <c r="F15" s="53"/>
      <c r="G15" s="53">
        <f t="shared" si="0"/>
        <v>0</v>
      </c>
      <c r="H15" s="59"/>
      <c r="I15" s="59"/>
    </row>
    <row r="16" spans="1:9" ht="20.100000000000001" customHeight="1">
      <c r="A16" s="63"/>
      <c r="B16" s="64" t="s">
        <v>133</v>
      </c>
      <c r="C16" s="147"/>
      <c r="D16" s="65"/>
      <c r="E16" s="109"/>
      <c r="F16" s="53"/>
      <c r="G16" s="53">
        <f t="shared" si="0"/>
        <v>0</v>
      </c>
      <c r="H16" s="59"/>
      <c r="I16" s="59"/>
    </row>
    <row r="17" spans="1:9" ht="20.100000000000001" customHeight="1">
      <c r="A17" s="63"/>
      <c r="B17" s="64" t="s">
        <v>133</v>
      </c>
      <c r="C17" s="147"/>
      <c r="D17" s="65"/>
      <c r="E17" s="109"/>
      <c r="F17" s="53"/>
      <c r="G17" s="53">
        <f t="shared" si="0"/>
        <v>0</v>
      </c>
      <c r="H17" s="59"/>
      <c r="I17" s="59"/>
    </row>
    <row r="18" spans="1:9" ht="20.100000000000001" customHeight="1">
      <c r="A18" s="63"/>
      <c r="B18" s="64" t="s">
        <v>119</v>
      </c>
      <c r="C18" s="147"/>
      <c r="D18" s="65"/>
      <c r="E18" s="109"/>
      <c r="F18" s="53"/>
      <c r="G18" s="53">
        <f t="shared" si="0"/>
        <v>0</v>
      </c>
      <c r="H18" s="59"/>
      <c r="I18" s="59"/>
    </row>
    <row r="19" spans="1:9" ht="20.100000000000001" customHeight="1">
      <c r="A19" s="63"/>
      <c r="B19" s="64" t="s">
        <v>133</v>
      </c>
      <c r="C19" s="147"/>
      <c r="D19" s="65"/>
      <c r="E19" s="109"/>
      <c r="F19" s="53"/>
      <c r="G19" s="53">
        <f t="shared" si="0"/>
        <v>0</v>
      </c>
      <c r="H19" s="59"/>
      <c r="I19" s="59"/>
    </row>
    <row r="20" spans="1:9" ht="20.100000000000001" customHeight="1">
      <c r="A20" s="63"/>
      <c r="B20" s="64" t="s">
        <v>133</v>
      </c>
      <c r="C20" s="147"/>
      <c r="D20" s="65"/>
      <c r="E20" s="109"/>
      <c r="F20" s="53"/>
      <c r="G20" s="53">
        <f t="shared" si="0"/>
        <v>0</v>
      </c>
      <c r="H20" s="59"/>
      <c r="I20" s="59"/>
    </row>
    <row r="21" spans="1:9" ht="20.100000000000001" customHeight="1">
      <c r="A21" s="63"/>
      <c r="B21" s="64" t="s">
        <v>133</v>
      </c>
      <c r="C21" s="147"/>
      <c r="D21" s="65"/>
      <c r="E21" s="109"/>
      <c r="F21" s="53"/>
      <c r="G21" s="53">
        <f t="shared" si="0"/>
        <v>0</v>
      </c>
      <c r="H21" s="59"/>
      <c r="I21" s="59"/>
    </row>
    <row r="22" spans="1:9" ht="36" customHeight="1">
      <c r="A22" s="134"/>
      <c r="B22" s="64" t="s">
        <v>117</v>
      </c>
      <c r="C22" s="147"/>
      <c r="D22" s="65"/>
      <c r="E22" s="109"/>
      <c r="F22" s="53"/>
      <c r="G22" s="53">
        <f t="shared" si="0"/>
        <v>0</v>
      </c>
      <c r="H22" s="59"/>
      <c r="I22" s="59"/>
    </row>
    <row r="23" spans="1:9" ht="20.100000000000001" customHeight="1">
      <c r="A23" s="63"/>
      <c r="B23" s="64" t="s">
        <v>117</v>
      </c>
      <c r="C23" s="147"/>
      <c r="D23" s="65"/>
      <c r="E23" s="109"/>
      <c r="F23" s="53"/>
      <c r="G23" s="53">
        <f t="shared" si="0"/>
        <v>0</v>
      </c>
      <c r="H23" s="59"/>
      <c r="I23" s="59"/>
    </row>
    <row r="24" spans="1:9" ht="20.100000000000001" customHeight="1">
      <c r="A24" s="63"/>
      <c r="B24" s="64" t="s">
        <v>133</v>
      </c>
      <c r="C24" s="147"/>
      <c r="D24" s="65"/>
      <c r="E24" s="109"/>
      <c r="F24" s="53"/>
      <c r="G24" s="53">
        <f t="shared" si="0"/>
        <v>0</v>
      </c>
      <c r="H24" s="59"/>
      <c r="I24" s="59"/>
    </row>
    <row r="25" spans="1:9" ht="20.100000000000001" customHeight="1">
      <c r="A25" s="63"/>
      <c r="B25" s="64" t="s">
        <v>133</v>
      </c>
      <c r="C25" s="147"/>
      <c r="D25" s="65"/>
      <c r="E25" s="109"/>
      <c r="F25" s="53"/>
      <c r="G25" s="53">
        <f t="shared" si="0"/>
        <v>0</v>
      </c>
      <c r="H25" s="59"/>
      <c r="I25" s="59"/>
    </row>
    <row r="26" spans="1:9" ht="20.100000000000001" customHeight="1">
      <c r="A26" s="63"/>
      <c r="B26" s="64" t="s">
        <v>115</v>
      </c>
      <c r="C26" s="147"/>
      <c r="D26" s="65"/>
      <c r="E26" s="109"/>
      <c r="F26" s="53"/>
      <c r="G26" s="53">
        <f t="shared" si="0"/>
        <v>0</v>
      </c>
      <c r="H26" s="59"/>
      <c r="I26" s="59"/>
    </row>
    <row r="27" spans="1:9" ht="20.100000000000001" customHeight="1">
      <c r="A27" s="63"/>
      <c r="B27" s="64" t="s">
        <v>115</v>
      </c>
      <c r="C27" s="147"/>
      <c r="D27" s="65"/>
      <c r="E27" s="109"/>
      <c r="F27" s="53"/>
      <c r="G27" s="53">
        <f t="shared" si="0"/>
        <v>0</v>
      </c>
      <c r="H27" s="59"/>
      <c r="I27" s="59"/>
    </row>
    <row r="28" spans="1:9" ht="20.100000000000001" customHeight="1">
      <c r="A28" s="63"/>
      <c r="B28" s="64" t="s">
        <v>135</v>
      </c>
      <c r="C28" s="147"/>
      <c r="D28" s="65"/>
      <c r="E28" s="109"/>
      <c r="F28" s="53"/>
      <c r="G28" s="53">
        <f t="shared" si="0"/>
        <v>0</v>
      </c>
      <c r="H28" s="59"/>
      <c r="I28" s="59"/>
    </row>
    <row r="29" spans="1:9" ht="20.100000000000001" customHeight="1">
      <c r="A29" s="63"/>
      <c r="B29" s="64" t="s">
        <v>135</v>
      </c>
      <c r="C29" s="147"/>
      <c r="D29" s="65"/>
      <c r="E29" s="109"/>
      <c r="F29" s="53"/>
      <c r="G29" s="53">
        <f t="shared" si="0"/>
        <v>0</v>
      </c>
      <c r="H29" s="59"/>
      <c r="I29" s="59"/>
    </row>
    <row r="30" spans="1:9" ht="20.100000000000001" customHeight="1">
      <c r="A30" s="63"/>
      <c r="B30" s="64" t="s">
        <v>133</v>
      </c>
      <c r="C30" s="147"/>
      <c r="D30" s="65"/>
      <c r="E30" s="109"/>
      <c r="F30" s="53"/>
      <c r="G30" s="53">
        <f t="shared" si="0"/>
        <v>0</v>
      </c>
      <c r="H30" s="59"/>
      <c r="I30" s="59"/>
    </row>
    <row r="31" spans="1:9" ht="20.100000000000001" customHeight="1">
      <c r="A31" s="63"/>
      <c r="B31" s="64" t="s">
        <v>133</v>
      </c>
      <c r="C31" s="147"/>
      <c r="D31" s="65"/>
      <c r="E31" s="109"/>
      <c r="F31" s="53"/>
      <c r="G31" s="53">
        <f t="shared" si="0"/>
        <v>0</v>
      </c>
      <c r="H31" s="59"/>
      <c r="I31" s="59"/>
    </row>
    <row r="32" spans="1:9" ht="20.100000000000001" customHeight="1">
      <c r="A32" s="63"/>
      <c r="B32" s="64" t="s">
        <v>133</v>
      </c>
      <c r="C32" s="147"/>
      <c r="D32" s="65"/>
      <c r="E32" s="109"/>
      <c r="F32" s="53"/>
      <c r="G32" s="53">
        <f t="shared" si="0"/>
        <v>0</v>
      </c>
      <c r="H32" s="83"/>
      <c r="I32" s="59"/>
    </row>
    <row r="33" spans="1:9" ht="20.100000000000001" customHeight="1">
      <c r="A33" s="63"/>
      <c r="B33" s="64" t="s">
        <v>133</v>
      </c>
      <c r="C33" s="147"/>
      <c r="D33" s="65"/>
      <c r="E33" s="110"/>
      <c r="F33" s="53"/>
      <c r="G33" s="53">
        <f t="shared" si="0"/>
        <v>0</v>
      </c>
      <c r="H33" s="83"/>
      <c r="I33" s="59"/>
    </row>
    <row r="34" spans="1:9" ht="20.100000000000001" customHeight="1">
      <c r="A34" s="63"/>
      <c r="B34" s="64" t="s">
        <v>133</v>
      </c>
      <c r="C34" s="147"/>
      <c r="D34" s="65"/>
      <c r="E34" s="111"/>
      <c r="F34" s="54"/>
      <c r="G34" s="53">
        <f t="shared" si="0"/>
        <v>0</v>
      </c>
      <c r="H34" s="83"/>
      <c r="I34" s="59"/>
    </row>
    <row r="35" spans="1:9" ht="20.100000000000001" customHeight="1">
      <c r="A35" s="63"/>
      <c r="B35" s="64" t="s">
        <v>133</v>
      </c>
      <c r="C35" s="147"/>
      <c r="D35" s="65"/>
      <c r="E35" s="109"/>
      <c r="F35" s="53"/>
      <c r="G35" s="53">
        <f t="shared" si="0"/>
        <v>0</v>
      </c>
      <c r="H35" s="83"/>
      <c r="I35" s="59"/>
    </row>
    <row r="36" spans="1:9" ht="20.100000000000001" customHeight="1">
      <c r="A36" s="63"/>
      <c r="B36" s="64" t="s">
        <v>133</v>
      </c>
      <c r="C36" s="147"/>
      <c r="D36" s="65"/>
      <c r="E36" s="109"/>
      <c r="F36" s="53"/>
      <c r="G36" s="53">
        <f t="shared" si="0"/>
        <v>0</v>
      </c>
      <c r="H36" s="83"/>
      <c r="I36" s="59"/>
    </row>
    <row r="37" spans="1:9" ht="20.100000000000001" customHeight="1">
      <c r="A37" s="63"/>
      <c r="B37" s="64" t="s">
        <v>133</v>
      </c>
      <c r="C37" s="147"/>
      <c r="D37" s="65"/>
      <c r="E37" s="109"/>
      <c r="F37" s="53"/>
      <c r="G37" s="53">
        <f t="shared" si="0"/>
        <v>0</v>
      </c>
      <c r="H37" s="83"/>
      <c r="I37" s="59"/>
    </row>
    <row r="38" spans="1:9" ht="20.100000000000001" customHeight="1">
      <c r="A38" s="63"/>
      <c r="B38" s="64" t="s">
        <v>133</v>
      </c>
      <c r="C38" s="147"/>
      <c r="D38" s="65"/>
      <c r="E38" s="109"/>
      <c r="F38" s="53"/>
      <c r="G38" s="53">
        <f t="shared" si="0"/>
        <v>0</v>
      </c>
      <c r="H38" s="83"/>
      <c r="I38" s="59"/>
    </row>
    <row r="39" spans="1:9" ht="20.100000000000001" customHeight="1">
      <c r="A39" s="63"/>
      <c r="B39" s="64" t="s">
        <v>136</v>
      </c>
      <c r="C39" s="147"/>
      <c r="D39" s="65"/>
      <c r="E39" s="109"/>
      <c r="F39" s="53"/>
      <c r="G39" s="53">
        <f t="shared" si="0"/>
        <v>0</v>
      </c>
      <c r="H39" s="83"/>
      <c r="I39" s="59"/>
    </row>
    <row r="40" spans="1:9" ht="20.100000000000001" customHeight="1">
      <c r="A40" s="69"/>
      <c r="B40" s="70" t="s">
        <v>115</v>
      </c>
      <c r="C40" s="148"/>
      <c r="D40" s="71"/>
      <c r="E40" s="109"/>
      <c r="F40" s="53"/>
      <c r="G40" s="53">
        <f t="shared" si="0"/>
        <v>0</v>
      </c>
      <c r="H40" s="83"/>
      <c r="I40" s="59"/>
    </row>
    <row r="41" spans="1:9" ht="20.100000000000001" customHeight="1">
      <c r="A41" s="69"/>
      <c r="B41" s="70" t="s">
        <v>115</v>
      </c>
      <c r="C41" s="148"/>
      <c r="D41" s="71"/>
      <c r="E41" s="109"/>
      <c r="F41" s="53"/>
      <c r="G41" s="53">
        <f t="shared" si="0"/>
        <v>0</v>
      </c>
      <c r="H41" s="83"/>
      <c r="I41" s="59"/>
    </row>
    <row r="42" spans="1:9" ht="20.100000000000001" customHeight="1">
      <c r="A42" s="69"/>
      <c r="B42" s="70" t="s">
        <v>115</v>
      </c>
      <c r="C42" s="148"/>
      <c r="D42" s="65"/>
      <c r="E42" s="111"/>
      <c r="F42" s="54"/>
      <c r="G42" s="53">
        <f t="shared" si="0"/>
        <v>0</v>
      </c>
      <c r="H42" s="83"/>
      <c r="I42" s="59"/>
    </row>
    <row r="43" spans="1:9" ht="20.100000000000001" customHeight="1">
      <c r="A43" s="69"/>
      <c r="B43" s="70" t="s">
        <v>137</v>
      </c>
      <c r="C43" s="148"/>
      <c r="D43" s="65"/>
      <c r="E43" s="109"/>
      <c r="F43" s="53"/>
      <c r="G43" s="53">
        <f t="shared" si="0"/>
        <v>0</v>
      </c>
      <c r="H43" s="83"/>
      <c r="I43" s="59"/>
    </row>
    <row r="44" spans="1:9" ht="20.100000000000001" customHeight="1">
      <c r="A44" s="69"/>
      <c r="B44" s="70" t="s">
        <v>115</v>
      </c>
      <c r="C44" s="148"/>
      <c r="D44" s="65"/>
      <c r="E44" s="109"/>
      <c r="F44" s="53"/>
      <c r="G44" s="53">
        <f t="shared" si="0"/>
        <v>0</v>
      </c>
      <c r="H44" s="83"/>
      <c r="I44" s="59"/>
    </row>
    <row r="45" spans="1:9" ht="20.100000000000001" customHeight="1">
      <c r="A45" s="63"/>
      <c r="B45" s="64" t="s">
        <v>115</v>
      </c>
      <c r="C45" s="147"/>
      <c r="D45" s="65"/>
      <c r="E45" s="111"/>
      <c r="F45" s="54"/>
      <c r="G45" s="53">
        <f t="shared" si="0"/>
        <v>0</v>
      </c>
      <c r="H45" s="83"/>
      <c r="I45" s="59"/>
    </row>
    <row r="46" spans="1:9" ht="20.100000000000001" customHeight="1">
      <c r="A46" s="63"/>
      <c r="B46" s="64" t="s">
        <v>115</v>
      </c>
      <c r="C46" s="147"/>
      <c r="D46" s="65"/>
      <c r="E46" s="109"/>
      <c r="F46" s="53"/>
      <c r="G46" s="53">
        <f t="shared" si="0"/>
        <v>0</v>
      </c>
      <c r="H46" s="83"/>
      <c r="I46" s="59"/>
    </row>
    <row r="47" spans="1:9" ht="20.100000000000001" customHeight="1">
      <c r="A47" s="84"/>
      <c r="B47" s="85" t="s">
        <v>115</v>
      </c>
      <c r="C47" s="149"/>
      <c r="D47" s="65"/>
      <c r="E47" s="111"/>
      <c r="F47" s="54"/>
      <c r="G47" s="53">
        <f t="shared" si="0"/>
        <v>0</v>
      </c>
      <c r="H47" s="83"/>
      <c r="I47" s="59"/>
    </row>
    <row r="48" spans="1:9" ht="20.100000000000001" customHeight="1">
      <c r="A48" s="63"/>
      <c r="B48" s="64"/>
      <c r="C48" s="147"/>
      <c r="D48" s="65"/>
      <c r="E48" s="87"/>
      <c r="F48" s="88"/>
      <c r="G48" s="53">
        <f t="shared" si="0"/>
        <v>0</v>
      </c>
      <c r="H48" s="59"/>
      <c r="I48" s="59"/>
    </row>
    <row r="49" spans="1:9" ht="20.100000000000001" customHeight="1">
      <c r="A49" s="257" t="s">
        <v>108</v>
      </c>
      <c r="B49" s="258"/>
      <c r="C49" s="258"/>
      <c r="D49" s="258"/>
      <c r="E49" s="258"/>
      <c r="F49" s="259"/>
      <c r="G49" s="86">
        <f>SUM(G5:G48)</f>
        <v>0</v>
      </c>
      <c r="H49" s="55"/>
      <c r="I49" s="56"/>
    </row>
    <row r="50" spans="1:9" ht="20.100000000000001" customHeight="1">
      <c r="A50" s="260" t="s">
        <v>109</v>
      </c>
      <c r="B50" s="261"/>
      <c r="C50" s="261"/>
      <c r="D50" s="261"/>
      <c r="E50" s="261"/>
      <c r="F50" s="262"/>
      <c r="G50" s="76">
        <f>G49*12</f>
        <v>0</v>
      </c>
      <c r="H50" s="55"/>
      <c r="I50" s="56"/>
    </row>
    <row r="51" spans="1:9" ht="20.100000000000001" customHeight="1">
      <c r="A51" s="260" t="s">
        <v>110</v>
      </c>
      <c r="B51" s="261"/>
      <c r="C51" s="261"/>
      <c r="D51" s="261"/>
      <c r="E51" s="261"/>
      <c r="F51" s="262"/>
      <c r="G51" s="77">
        <f>G49/14</f>
        <v>0</v>
      </c>
      <c r="H51" s="57"/>
      <c r="I51" s="56"/>
    </row>
    <row r="55" spans="1:9">
      <c r="G55" s="196"/>
    </row>
  </sheetData>
  <sheetProtection selectLockedCells="1" selectUnlockedCells="1"/>
  <mergeCells count="6">
    <mergeCell ref="A1:G1"/>
    <mergeCell ref="A2:G2"/>
    <mergeCell ref="A49:F49"/>
    <mergeCell ref="A50:F50"/>
    <mergeCell ref="A51:F51"/>
    <mergeCell ref="A3:G3"/>
  </mergeCells>
  <pageMargins left="0.51180555555555551" right="0.51180555555555551" top="0.78749999999999998" bottom="0.78749999999999998" header="0.51180555555555551" footer="0.51180555555555551"/>
  <pageSetup paperSize="9" scale="84" firstPageNumber="0" fitToHeight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workbookViewId="0">
      <selection activeCell="A10" sqref="A10"/>
    </sheetView>
  </sheetViews>
  <sheetFormatPr defaultColWidth="9.28515625" defaultRowHeight="12.75"/>
  <cols>
    <col min="1" max="1" width="61.5703125" bestFit="1" customWidth="1"/>
    <col min="2" max="2" width="17.5703125" bestFit="1" customWidth="1"/>
    <col min="3" max="3" width="11.42578125" bestFit="1" customWidth="1"/>
    <col min="4" max="4" width="10" bestFit="1" customWidth="1"/>
    <col min="5" max="5" width="14.5703125" bestFit="1" customWidth="1"/>
    <col min="6" max="6" width="12.28515625" bestFit="1" customWidth="1"/>
  </cols>
  <sheetData>
    <row r="1" spans="1:9" ht="24.95" customHeight="1">
      <c r="A1" s="253" t="s">
        <v>190</v>
      </c>
      <c r="B1" s="253"/>
      <c r="C1" s="253"/>
      <c r="D1" s="253"/>
      <c r="E1" s="253"/>
      <c r="F1" s="253"/>
    </row>
    <row r="2" spans="1:9" ht="24.95" customHeight="1">
      <c r="A2" s="255" t="s">
        <v>155</v>
      </c>
      <c r="B2" s="255"/>
      <c r="C2" s="255"/>
      <c r="D2" s="255"/>
      <c r="E2" s="255"/>
      <c r="F2" s="255"/>
    </row>
    <row r="3" spans="1:9" ht="60.75" customHeight="1">
      <c r="A3" s="263" t="s">
        <v>171</v>
      </c>
      <c r="B3" s="264"/>
      <c r="C3" s="264"/>
      <c r="D3" s="264"/>
      <c r="E3" s="264"/>
      <c r="F3" s="265"/>
      <c r="G3" s="145"/>
      <c r="H3" s="135"/>
      <c r="I3" s="135"/>
    </row>
    <row r="4" spans="1:9" ht="25.5">
      <c r="A4" s="143" t="s">
        <v>111</v>
      </c>
      <c r="B4" s="143" t="s">
        <v>112</v>
      </c>
      <c r="C4" s="144" t="s">
        <v>118</v>
      </c>
      <c r="D4" s="144" t="s">
        <v>100</v>
      </c>
      <c r="E4" s="144" t="s">
        <v>101</v>
      </c>
      <c r="F4" s="144" t="s">
        <v>114</v>
      </c>
    </row>
    <row r="5" spans="1:9" ht="20.100000000000001" customHeight="1">
      <c r="A5" s="72"/>
      <c r="B5" s="70" t="s">
        <v>133</v>
      </c>
      <c r="C5" s="71">
        <v>2</v>
      </c>
      <c r="D5" s="187"/>
      <c r="E5" s="190"/>
      <c r="F5" s="53">
        <f t="shared" ref="F5:F26" si="0">E5*C5</f>
        <v>0</v>
      </c>
    </row>
    <row r="6" spans="1:9" ht="20.100000000000001" customHeight="1">
      <c r="A6" s="72"/>
      <c r="B6" s="70" t="s">
        <v>133</v>
      </c>
      <c r="C6" s="71">
        <v>2</v>
      </c>
      <c r="D6" s="187"/>
      <c r="E6" s="190"/>
      <c r="F6" s="53">
        <f t="shared" si="0"/>
        <v>0</v>
      </c>
    </row>
    <row r="7" spans="1:9" ht="20.100000000000001" customHeight="1">
      <c r="A7" s="72"/>
      <c r="B7" s="70" t="s">
        <v>133</v>
      </c>
      <c r="C7" s="71">
        <v>2</v>
      </c>
      <c r="D7" s="187"/>
      <c r="E7" s="190"/>
      <c r="F7" s="53">
        <f t="shared" si="0"/>
        <v>0</v>
      </c>
    </row>
    <row r="8" spans="1:9" ht="20.100000000000001" customHeight="1">
      <c r="A8" s="69"/>
      <c r="B8" s="70" t="s">
        <v>133</v>
      </c>
      <c r="C8" s="71">
        <v>2</v>
      </c>
      <c r="D8" s="187"/>
      <c r="E8" s="190"/>
      <c r="F8" s="53">
        <f t="shared" si="0"/>
        <v>0</v>
      </c>
    </row>
    <row r="9" spans="1:9" ht="20.100000000000001" customHeight="1">
      <c r="A9" s="69"/>
      <c r="B9" s="70" t="s">
        <v>133</v>
      </c>
      <c r="C9" s="71">
        <v>3</v>
      </c>
      <c r="D9" s="187"/>
      <c r="E9" s="191"/>
      <c r="F9" s="53">
        <f t="shared" si="0"/>
        <v>0</v>
      </c>
    </row>
    <row r="10" spans="1:9" ht="20.100000000000001" customHeight="1">
      <c r="A10" s="69"/>
      <c r="B10" s="70" t="s">
        <v>133</v>
      </c>
      <c r="C10" s="71">
        <v>2</v>
      </c>
      <c r="D10" s="187"/>
      <c r="E10" s="191"/>
      <c r="F10" s="53">
        <f t="shared" si="0"/>
        <v>0</v>
      </c>
    </row>
    <row r="11" spans="1:9" ht="20.100000000000001" customHeight="1">
      <c r="A11" s="69"/>
      <c r="B11" s="70" t="s">
        <v>133</v>
      </c>
      <c r="C11" s="71">
        <v>2</v>
      </c>
      <c r="D11" s="187"/>
      <c r="E11" s="191"/>
      <c r="F11" s="53">
        <f t="shared" si="0"/>
        <v>0</v>
      </c>
    </row>
    <row r="12" spans="1:9" ht="20.100000000000001" customHeight="1">
      <c r="A12" s="81"/>
      <c r="B12" s="70" t="s">
        <v>133</v>
      </c>
      <c r="C12" s="82">
        <v>2</v>
      </c>
      <c r="D12" s="188"/>
      <c r="E12" s="192"/>
      <c r="F12" s="53">
        <f t="shared" si="0"/>
        <v>0</v>
      </c>
    </row>
    <row r="13" spans="1:9" ht="20.100000000000001" customHeight="1">
      <c r="A13" s="81"/>
      <c r="B13" s="70" t="s">
        <v>133</v>
      </c>
      <c r="C13" s="82">
        <v>5</v>
      </c>
      <c r="D13" s="188"/>
      <c r="E13" s="192"/>
      <c r="F13" s="53">
        <f t="shared" si="0"/>
        <v>0</v>
      </c>
    </row>
    <row r="14" spans="1:9" ht="20.100000000000001" customHeight="1">
      <c r="A14" s="81"/>
      <c r="B14" s="70" t="s">
        <v>133</v>
      </c>
      <c r="C14" s="82">
        <v>1</v>
      </c>
      <c r="D14" s="188"/>
      <c r="E14" s="192"/>
      <c r="F14" s="53">
        <f t="shared" si="0"/>
        <v>0</v>
      </c>
    </row>
    <row r="15" spans="1:9" ht="20.100000000000001" customHeight="1">
      <c r="A15" s="72"/>
      <c r="B15" s="70" t="s">
        <v>133</v>
      </c>
      <c r="C15" s="71">
        <v>2</v>
      </c>
      <c r="D15" s="187"/>
      <c r="E15" s="193"/>
      <c r="F15" s="53">
        <f t="shared" si="0"/>
        <v>0</v>
      </c>
    </row>
    <row r="16" spans="1:9" ht="20.100000000000001" customHeight="1">
      <c r="A16" s="69"/>
      <c r="B16" s="70" t="s">
        <v>133</v>
      </c>
      <c r="C16" s="71">
        <v>2</v>
      </c>
      <c r="D16" s="187"/>
      <c r="E16" s="193"/>
      <c r="F16" s="53">
        <f t="shared" si="0"/>
        <v>0</v>
      </c>
    </row>
    <row r="17" spans="1:6" ht="20.100000000000001" customHeight="1">
      <c r="A17" s="69"/>
      <c r="B17" s="70" t="s">
        <v>133</v>
      </c>
      <c r="C17" s="71">
        <v>1</v>
      </c>
      <c r="D17" s="188"/>
      <c r="E17" s="193"/>
      <c r="F17" s="53">
        <f t="shared" si="0"/>
        <v>0</v>
      </c>
    </row>
    <row r="18" spans="1:6" ht="20.100000000000001" customHeight="1">
      <c r="A18" s="72"/>
      <c r="B18" s="70" t="s">
        <v>133</v>
      </c>
      <c r="C18" s="71">
        <v>2</v>
      </c>
      <c r="D18" s="187"/>
      <c r="E18" s="193"/>
      <c r="F18" s="53">
        <f t="shared" si="0"/>
        <v>0</v>
      </c>
    </row>
    <row r="19" spans="1:6" ht="20.100000000000001" customHeight="1">
      <c r="A19" s="72"/>
      <c r="B19" s="70" t="s">
        <v>133</v>
      </c>
      <c r="C19" s="71">
        <v>1</v>
      </c>
      <c r="D19" s="187"/>
      <c r="E19" s="193"/>
      <c r="F19" s="53">
        <f t="shared" si="0"/>
        <v>0</v>
      </c>
    </row>
    <row r="20" spans="1:6" ht="20.100000000000001" customHeight="1">
      <c r="A20" s="72"/>
      <c r="B20" s="70" t="s">
        <v>133</v>
      </c>
      <c r="C20" s="71">
        <v>1</v>
      </c>
      <c r="D20" s="187"/>
      <c r="E20" s="193"/>
      <c r="F20" s="53">
        <f t="shared" si="0"/>
        <v>0</v>
      </c>
    </row>
    <row r="21" spans="1:6" ht="20.100000000000001" customHeight="1">
      <c r="A21" s="72"/>
      <c r="B21" s="70" t="s">
        <v>133</v>
      </c>
      <c r="C21" s="71">
        <v>1</v>
      </c>
      <c r="D21" s="187"/>
      <c r="E21" s="193"/>
      <c r="F21" s="53">
        <f t="shared" si="0"/>
        <v>0</v>
      </c>
    </row>
    <row r="22" spans="1:6" ht="20.100000000000001" customHeight="1">
      <c r="A22" s="69"/>
      <c r="B22" s="70" t="s">
        <v>133</v>
      </c>
      <c r="C22" s="71">
        <v>2</v>
      </c>
      <c r="D22" s="188"/>
      <c r="E22" s="193"/>
      <c r="F22" s="53">
        <f t="shared" si="0"/>
        <v>0</v>
      </c>
    </row>
    <row r="23" spans="1:6" ht="20.100000000000001" customHeight="1">
      <c r="A23" s="69"/>
      <c r="B23" s="70" t="s">
        <v>133</v>
      </c>
      <c r="C23" s="71">
        <v>1</v>
      </c>
      <c r="D23" s="188"/>
      <c r="E23" s="193"/>
      <c r="F23" s="53">
        <f t="shared" si="0"/>
        <v>0</v>
      </c>
    </row>
    <row r="24" spans="1:6" ht="20.100000000000001" customHeight="1">
      <c r="A24" s="69"/>
      <c r="B24" s="70" t="s">
        <v>133</v>
      </c>
      <c r="C24" s="71">
        <v>50</v>
      </c>
      <c r="D24" s="188"/>
      <c r="E24" s="193"/>
      <c r="F24" s="53">
        <f t="shared" si="0"/>
        <v>0</v>
      </c>
    </row>
    <row r="25" spans="1:6" ht="20.100000000000001" customHeight="1">
      <c r="A25" s="69"/>
      <c r="B25" s="70" t="s">
        <v>133</v>
      </c>
      <c r="C25" s="107">
        <v>50</v>
      </c>
      <c r="D25" s="188"/>
      <c r="E25" s="194"/>
      <c r="F25" s="53">
        <f t="shared" si="0"/>
        <v>0</v>
      </c>
    </row>
    <row r="26" spans="1:6" ht="20.100000000000001" customHeight="1">
      <c r="A26" s="52"/>
      <c r="B26" s="70" t="s">
        <v>133</v>
      </c>
      <c r="C26" s="107">
        <v>4</v>
      </c>
      <c r="D26" s="188"/>
      <c r="E26" s="194"/>
      <c r="F26" s="53">
        <f t="shared" si="0"/>
        <v>0</v>
      </c>
    </row>
    <row r="27" spans="1:6" ht="20.100000000000001" customHeight="1">
      <c r="A27" s="78"/>
      <c r="B27" s="79"/>
      <c r="C27" s="79"/>
      <c r="D27" s="79"/>
      <c r="E27" s="80"/>
      <c r="F27" s="53">
        <f>E27*C27</f>
        <v>0</v>
      </c>
    </row>
    <row r="28" spans="1:6" ht="20.100000000000001" customHeight="1">
      <c r="A28" s="266" t="s">
        <v>109</v>
      </c>
      <c r="B28" s="266"/>
      <c r="C28" s="266"/>
      <c r="D28" s="266"/>
      <c r="E28" s="266"/>
      <c r="F28" s="76">
        <f>SUM(F5:F27)</f>
        <v>0</v>
      </c>
    </row>
    <row r="29" spans="1:6" ht="20.100000000000001" customHeight="1">
      <c r="A29" s="266" t="s">
        <v>120</v>
      </c>
      <c r="B29" s="266"/>
      <c r="C29" s="266"/>
      <c r="D29" s="266"/>
      <c r="E29" s="266"/>
      <c r="F29" s="76">
        <f>F28/12</f>
        <v>0</v>
      </c>
    </row>
    <row r="30" spans="1:6" ht="20.100000000000001" customHeight="1">
      <c r="A30" s="266" t="s">
        <v>110</v>
      </c>
      <c r="B30" s="266"/>
      <c r="C30" s="266"/>
      <c r="D30" s="266"/>
      <c r="E30" s="266"/>
      <c r="F30" s="77">
        <f>F29/14</f>
        <v>0</v>
      </c>
    </row>
  </sheetData>
  <mergeCells count="6">
    <mergeCell ref="A1:F1"/>
    <mergeCell ref="A2:F2"/>
    <mergeCell ref="A28:E28"/>
    <mergeCell ref="A29:E29"/>
    <mergeCell ref="A30:E30"/>
    <mergeCell ref="A3:F3"/>
  </mergeCells>
  <pageMargins left="0.511811024" right="0.511811024" top="0.78740157499999996" bottom="0.78740157499999996" header="0.31496062000000002" footer="0.31496062000000002"/>
  <pageSetup paperSize="9" scale="75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workbookViewId="0">
      <selection activeCell="A9" sqref="A9:D9"/>
    </sheetView>
  </sheetViews>
  <sheetFormatPr defaultColWidth="9.28515625" defaultRowHeight="12.75"/>
  <cols>
    <col min="1" max="1" width="76.140625" bestFit="1" customWidth="1"/>
    <col min="2" max="2" width="14.7109375" customWidth="1"/>
    <col min="3" max="3" width="9.140625" bestFit="1" customWidth="1"/>
    <col min="4" max="4" width="9.85546875" bestFit="1" customWidth="1"/>
    <col min="5" max="5" width="14.85546875" bestFit="1" customWidth="1"/>
  </cols>
  <sheetData>
    <row r="1" spans="1:5" ht="24.95" customHeight="1">
      <c r="A1" s="253" t="s">
        <v>190</v>
      </c>
      <c r="B1" s="268"/>
      <c r="C1" s="268"/>
      <c r="D1" s="268"/>
      <c r="E1" s="268"/>
    </row>
    <row r="2" spans="1:5" ht="18">
      <c r="A2" s="255" t="s">
        <v>29</v>
      </c>
      <c r="B2" s="255"/>
      <c r="C2" s="255"/>
      <c r="D2" s="255"/>
      <c r="E2" s="255"/>
    </row>
    <row r="3" spans="1:5" ht="25.5">
      <c r="A3" s="112" t="s">
        <v>121</v>
      </c>
      <c r="B3" s="113" t="s">
        <v>122</v>
      </c>
      <c r="C3" s="114" t="s">
        <v>123</v>
      </c>
      <c r="D3" s="115" t="s">
        <v>101</v>
      </c>
      <c r="E3" s="115" t="s">
        <v>114</v>
      </c>
    </row>
    <row r="4" spans="1:5">
      <c r="A4" s="116"/>
      <c r="B4" s="89">
        <v>28</v>
      </c>
      <c r="C4" s="89" t="s">
        <v>116</v>
      </c>
      <c r="D4" s="117"/>
      <c r="E4" s="117">
        <f>B4*D4</f>
        <v>0</v>
      </c>
    </row>
    <row r="5" spans="1:5">
      <c r="A5" s="116"/>
      <c r="B5" s="89">
        <v>28</v>
      </c>
      <c r="C5" s="89" t="s">
        <v>116</v>
      </c>
      <c r="D5" s="117"/>
      <c r="E5" s="117">
        <f>B5*D5</f>
        <v>0</v>
      </c>
    </row>
    <row r="6" spans="1:5">
      <c r="A6" s="58"/>
      <c r="B6" s="89">
        <v>14</v>
      </c>
      <c r="C6" s="89" t="s">
        <v>119</v>
      </c>
      <c r="D6" s="117"/>
      <c r="E6" s="117">
        <f>B6*D6</f>
        <v>0</v>
      </c>
    </row>
    <row r="7" spans="1:5" ht="20.100000000000001" customHeight="1">
      <c r="A7" s="269" t="s">
        <v>151</v>
      </c>
      <c r="B7" s="269"/>
      <c r="C7" s="269"/>
      <c r="D7" s="269"/>
      <c r="E7" s="118">
        <f>SUM(E4:E6)</f>
        <v>0</v>
      </c>
    </row>
    <row r="8" spans="1:5" ht="20.100000000000001" customHeight="1">
      <c r="A8" s="269" t="s">
        <v>152</v>
      </c>
      <c r="B8" s="269"/>
      <c r="C8" s="269"/>
      <c r="D8" s="269"/>
      <c r="E8" s="118">
        <f>E7/6</f>
        <v>0</v>
      </c>
    </row>
    <row r="9" spans="1:5" ht="20.100000000000001" customHeight="1">
      <c r="A9" s="269" t="s">
        <v>153</v>
      </c>
      <c r="B9" s="269"/>
      <c r="C9" s="269"/>
      <c r="D9" s="269"/>
      <c r="E9" s="118">
        <f>E7*2</f>
        <v>0</v>
      </c>
    </row>
    <row r="10" spans="1:5" ht="20.100000000000001" customHeight="1">
      <c r="A10" s="267" t="s">
        <v>124</v>
      </c>
      <c r="B10" s="267"/>
      <c r="C10" s="267"/>
      <c r="D10" s="267"/>
      <c r="E10" s="90">
        <f>E8/14</f>
        <v>0</v>
      </c>
    </row>
    <row r="13" spans="1:5" ht="20.25">
      <c r="A13" s="270" t="s">
        <v>216</v>
      </c>
      <c r="B13" s="270"/>
      <c r="C13" s="270"/>
      <c r="D13" s="270"/>
      <c r="E13" s="270"/>
    </row>
    <row r="14" spans="1:5" ht="25.5">
      <c r="A14" s="112" t="s">
        <v>121</v>
      </c>
      <c r="B14" s="113" t="s">
        <v>122</v>
      </c>
      <c r="C14" s="114" t="s">
        <v>123</v>
      </c>
      <c r="D14" s="115" t="s">
        <v>101</v>
      </c>
      <c r="E14" s="115" t="s">
        <v>114</v>
      </c>
    </row>
    <row r="15" spans="1:5">
      <c r="A15" s="174"/>
      <c r="B15" s="89">
        <v>2</v>
      </c>
      <c r="C15" s="89" t="s">
        <v>119</v>
      </c>
      <c r="D15" s="117"/>
      <c r="E15" s="117">
        <f>B15*D15</f>
        <v>0</v>
      </c>
    </row>
    <row r="16" spans="1:5">
      <c r="A16" s="174"/>
      <c r="B16" s="89">
        <v>6</v>
      </c>
      <c r="C16" s="89" t="s">
        <v>116</v>
      </c>
      <c r="D16" s="117"/>
      <c r="E16" s="117">
        <f t="shared" ref="E16:E21" si="0">B16*D16</f>
        <v>0</v>
      </c>
    </row>
    <row r="17" spans="1:5">
      <c r="A17" s="175"/>
      <c r="B17" s="89">
        <v>4</v>
      </c>
      <c r="C17" s="89" t="s">
        <v>119</v>
      </c>
      <c r="D17" s="117"/>
      <c r="E17" s="117">
        <f t="shared" si="0"/>
        <v>0</v>
      </c>
    </row>
    <row r="18" spans="1:5">
      <c r="A18" s="174"/>
      <c r="B18" s="176">
        <v>1</v>
      </c>
      <c r="C18" s="89" t="s">
        <v>116</v>
      </c>
      <c r="D18" s="117"/>
      <c r="E18" s="117">
        <f t="shared" si="0"/>
        <v>0</v>
      </c>
    </row>
    <row r="19" spans="1:5">
      <c r="A19" s="175"/>
      <c r="B19" s="177">
        <v>1</v>
      </c>
      <c r="C19" s="178" t="s">
        <v>119</v>
      </c>
      <c r="D19" s="179"/>
      <c r="E19" s="179">
        <f t="shared" si="0"/>
        <v>0</v>
      </c>
    </row>
    <row r="20" spans="1:5">
      <c r="A20" s="180"/>
      <c r="B20" s="181">
        <v>1</v>
      </c>
      <c r="C20" s="181" t="s">
        <v>116</v>
      </c>
      <c r="D20" s="182"/>
      <c r="E20" s="182">
        <f t="shared" si="0"/>
        <v>0</v>
      </c>
    </row>
    <row r="21" spans="1:5">
      <c r="A21" s="183"/>
      <c r="B21" s="184">
        <v>2</v>
      </c>
      <c r="C21" s="185" t="s">
        <v>116</v>
      </c>
      <c r="D21" s="186"/>
      <c r="E21" s="186">
        <f t="shared" si="0"/>
        <v>0</v>
      </c>
    </row>
    <row r="22" spans="1:5">
      <c r="A22" s="271" t="s">
        <v>151</v>
      </c>
      <c r="B22" s="269"/>
      <c r="C22" s="269"/>
      <c r="D22" s="269"/>
      <c r="E22" s="118">
        <f>SUM(E15:E21)</f>
        <v>0</v>
      </c>
    </row>
    <row r="23" spans="1:5">
      <c r="A23" s="269" t="s">
        <v>152</v>
      </c>
      <c r="B23" s="269"/>
      <c r="C23" s="269"/>
      <c r="D23" s="269"/>
      <c r="E23" s="118">
        <f>E22/6</f>
        <v>0</v>
      </c>
    </row>
    <row r="24" spans="1:5">
      <c r="A24" s="269" t="s">
        <v>153</v>
      </c>
      <c r="B24" s="269"/>
      <c r="C24" s="269"/>
      <c r="D24" s="269"/>
      <c r="E24" s="118">
        <f>E22*2</f>
        <v>0</v>
      </c>
    </row>
    <row r="25" spans="1:5">
      <c r="A25" s="267" t="s">
        <v>124</v>
      </c>
      <c r="B25" s="267"/>
      <c r="C25" s="267"/>
      <c r="D25" s="267"/>
      <c r="E25" s="90">
        <f>E23/14</f>
        <v>0</v>
      </c>
    </row>
  </sheetData>
  <sheetProtection selectLockedCells="1" selectUnlockedCells="1"/>
  <mergeCells count="11">
    <mergeCell ref="A25:D25"/>
    <mergeCell ref="A1:E1"/>
    <mergeCell ref="A8:D8"/>
    <mergeCell ref="A9:D9"/>
    <mergeCell ref="A2:E2"/>
    <mergeCell ref="A7:D7"/>
    <mergeCell ref="A10:D10"/>
    <mergeCell ref="A13:E13"/>
    <mergeCell ref="A22:D22"/>
    <mergeCell ref="A23:D23"/>
    <mergeCell ref="A24:D24"/>
  </mergeCells>
  <pageMargins left="0.51180555555555551" right="0.51180555555555551" top="0.78749999999999998" bottom="0.78749999999999998" header="0.51180555555555551" footer="0.51180555555555551"/>
  <pageSetup scale="80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6</vt:i4>
      </vt:variant>
    </vt:vector>
  </HeadingPairs>
  <TitlesOfParts>
    <vt:vector size="19" baseType="lpstr">
      <vt:lpstr>Servente</vt:lpstr>
      <vt:lpstr>Servente_Aux. Jard</vt:lpstr>
      <vt:lpstr>Servente_Aux. copa</vt:lpstr>
      <vt:lpstr>Lider</vt:lpstr>
      <vt:lpstr>Pessoal (2)</vt:lpstr>
      <vt:lpstr>Equipamentos</vt:lpstr>
      <vt:lpstr>Materiais Consumo</vt:lpstr>
      <vt:lpstr>Utensílios</vt:lpstr>
      <vt:lpstr>Uniforme</vt:lpstr>
      <vt:lpstr>Resumo por Posto</vt:lpstr>
      <vt:lpstr>Valor da Proposta</vt:lpstr>
      <vt:lpstr>Pessoal</vt:lpstr>
      <vt:lpstr>Valor Estimado</vt:lpstr>
      <vt:lpstr>'Servente_Aux. copa'!__xlnm.Print_Area_1</vt:lpstr>
      <vt:lpstr>'Servente_Aux. Jard'!__xlnm.Print_Area_1</vt:lpstr>
      <vt:lpstr>__xlnm.Print_Area_1</vt:lpstr>
      <vt:lpstr>Servente!Area_de_impressao</vt:lpstr>
      <vt:lpstr>'Servente_Aux. copa'!Area_de_impressao</vt:lpstr>
      <vt:lpstr>'Servente_Aux. Jard'!Area_de_impressao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salencar</dc:creator>
  <cp:lastModifiedBy>Levi.LMS</cp:lastModifiedBy>
  <cp:lastPrinted>2017-02-20T12:47:07Z</cp:lastPrinted>
  <dcterms:created xsi:type="dcterms:W3CDTF">2016-07-06T19:21:04Z</dcterms:created>
  <dcterms:modified xsi:type="dcterms:W3CDTF">2017-11-13T12:22:25Z</dcterms:modified>
</cp:coreProperties>
</file>